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35" activeTab="43"/>
  </bookViews>
  <sheets>
    <sheet name="общие данные " sheetId="1" r:id="rId1"/>
    <sheet name="площади" sheetId="41" r:id="rId2"/>
    <sheet name="Лист1" sheetId="42" r:id="rId3"/>
    <sheet name="Ангарский 4" sheetId="2" r:id="rId4"/>
    <sheet name="Ангарский 6" sheetId="3" r:id="rId5"/>
    <sheet name="Лист2" sheetId="43" r:id="rId6"/>
    <sheet name="Жел 16" sheetId="4" r:id="rId7"/>
    <sheet name="Жел 18а" sheetId="5" r:id="rId8"/>
    <sheet name="Жел 18" sheetId="6" r:id="rId9"/>
    <sheet name="Крюкова 35а" sheetId="7" r:id="rId10"/>
    <sheet name="Крюкова 64" sheetId="8" r:id="rId11"/>
    <sheet name="Ленина 166" sheetId="9" r:id="rId12"/>
    <sheet name="Ленина 172" sheetId="10" r:id="rId13"/>
    <sheet name="Ленина 174" sheetId="11" r:id="rId14"/>
    <sheet name="Ленина 180" sheetId="12" r:id="rId15"/>
    <sheet name="Ленина 182" sheetId="13" r:id="rId16"/>
    <sheet name="Ленина 184а " sheetId="14" r:id="rId17"/>
    <sheet name="Ленина 184" sheetId="15" r:id="rId18"/>
    <sheet name="Ленина 242а" sheetId="16" r:id="rId19"/>
    <sheet name="Ленина 242" sheetId="17" r:id="rId20"/>
    <sheet name="Ленина 248" sheetId="18" r:id="rId21"/>
    <sheet name="Ленина 250" sheetId="19" r:id="rId22"/>
    <sheet name="Мира 971" sheetId="20" r:id="rId23"/>
    <sheet name="Мира 972" sheetId="21" r:id="rId24"/>
    <sheet name="Песочная 33" sheetId="22" r:id="rId25"/>
    <sheet name="Сах 61" sheetId="23" r:id="rId26"/>
    <sheet name="Сах 88" sheetId="31" r:id="rId27"/>
    <sheet name="Сах 100" sheetId="24" r:id="rId28"/>
    <sheet name="Сах 102" sheetId="25" r:id="rId29"/>
    <sheet name="Сах 106а" sheetId="26" r:id="rId30"/>
    <sheet name="Сах 106" sheetId="27" r:id="rId31"/>
    <sheet name="Сах 108а" sheetId="28" r:id="rId32"/>
    <sheet name="Лист3" sheetId="44" r:id="rId33"/>
    <sheet name="Сах 108" sheetId="29" r:id="rId34"/>
    <sheet name="Сах 147" sheetId="30" r:id="rId35"/>
    <sheet name="Северная 44" sheetId="32" r:id="rId36"/>
    <sheet name="Чехова 70б2" sheetId="33" r:id="rId37"/>
    <sheet name="Ю-Сах 6" sheetId="34" r:id="rId38"/>
    <sheet name="Ю-Сах 8" sheetId="35" r:id="rId39"/>
    <sheet name="Ю-Сах 10" sheetId="36" r:id="rId40"/>
    <sheet name="Ю-Сах 11" sheetId="37" r:id="rId41"/>
    <sheet name="Ю-Сах 17" sheetId="38" r:id="rId42"/>
    <sheet name="Ю-Сах 19" sheetId="39" r:id="rId43"/>
    <sheet name="Ю-Сах 27" sheetId="40" r:id="rId44"/>
  </sheets>
  <calcPr calcId="125725" refMode="R1C1"/>
</workbook>
</file>

<file path=xl/calcChain.xml><?xml version="1.0" encoding="utf-8"?>
<calcChain xmlns="http://schemas.openxmlformats.org/spreadsheetml/2006/main">
  <c r="C24" i="40"/>
  <c r="C23"/>
  <c r="C22"/>
  <c r="C21"/>
  <c r="C20"/>
  <c r="C19"/>
  <c r="C18"/>
  <c r="C17"/>
  <c r="C24" i="38"/>
  <c r="C23"/>
  <c r="C22"/>
  <c r="C21"/>
  <c r="C20"/>
  <c r="C19"/>
  <c r="C18"/>
  <c r="C17"/>
  <c r="C24" i="37"/>
  <c r="C23"/>
  <c r="C22"/>
  <c r="C21"/>
  <c r="C20"/>
  <c r="C19"/>
  <c r="C18"/>
  <c r="C17"/>
  <c r="C24" i="36"/>
  <c r="C23"/>
  <c r="C22"/>
  <c r="C21"/>
  <c r="C20"/>
  <c r="C19"/>
  <c r="C18"/>
  <c r="C17"/>
  <c r="C24" i="35"/>
  <c r="C23"/>
  <c r="C22"/>
  <c r="C21"/>
  <c r="C20"/>
  <c r="C19"/>
  <c r="C18"/>
  <c r="C17"/>
  <c r="C24" i="34"/>
  <c r="C23"/>
  <c r="C22"/>
  <c r="C20"/>
  <c r="C19"/>
  <c r="C18"/>
  <c r="C24" i="33"/>
  <c r="C23"/>
  <c r="C22"/>
  <c r="C21"/>
  <c r="C20"/>
  <c r="C19"/>
  <c r="C18"/>
  <c r="C17"/>
  <c r="C35" i="32"/>
  <c r="C25"/>
  <c r="C24"/>
  <c r="C22"/>
  <c r="C21"/>
  <c r="C20"/>
  <c r="C19"/>
  <c r="C18"/>
  <c r="C17"/>
  <c r="C24" i="30"/>
  <c r="C23"/>
  <c r="C22"/>
  <c r="C21"/>
  <c r="C20"/>
  <c r="C19"/>
  <c r="C18"/>
  <c r="C17"/>
  <c r="C24" i="29"/>
  <c r="C23"/>
  <c r="C22"/>
  <c r="C21"/>
  <c r="C20"/>
  <c r="C19"/>
  <c r="C18"/>
  <c r="C17"/>
  <c r="C24" i="28"/>
  <c r="C23"/>
  <c r="C22"/>
  <c r="C21"/>
  <c r="C20"/>
  <c r="C19"/>
  <c r="C18"/>
  <c r="C17"/>
  <c r="C24" i="27"/>
  <c r="C23"/>
  <c r="C22"/>
  <c r="C21"/>
  <c r="C20"/>
  <c r="C19"/>
  <c r="C18"/>
  <c r="C17"/>
  <c r="C24" i="26"/>
  <c r="C23"/>
  <c r="C22"/>
  <c r="C21"/>
  <c r="C20"/>
  <c r="C19"/>
  <c r="C18"/>
  <c r="C17"/>
  <c r="C24" i="25"/>
  <c r="C23"/>
  <c r="C22"/>
  <c r="C21"/>
  <c r="C20"/>
  <c r="C19"/>
  <c r="C18"/>
  <c r="C17"/>
  <c r="C24" i="24"/>
  <c r="C23"/>
  <c r="C22"/>
  <c r="C21"/>
  <c r="C20"/>
  <c r="C19"/>
  <c r="C18"/>
  <c r="C17"/>
  <c r="C24" i="31"/>
  <c r="C23"/>
  <c r="C22"/>
  <c r="C21"/>
  <c r="C20"/>
  <c r="C19"/>
  <c r="C18"/>
  <c r="C17"/>
  <c r="C24" i="23"/>
  <c r="C23"/>
  <c r="C22"/>
  <c r="C21"/>
  <c r="C20"/>
  <c r="C19"/>
  <c r="C18"/>
  <c r="C17"/>
  <c r="C24" i="22"/>
  <c r="C23"/>
  <c r="C22"/>
  <c r="C20"/>
  <c r="C19"/>
  <c r="C18"/>
  <c r="C17"/>
  <c r="C17" i="20"/>
  <c r="C18"/>
  <c r="C22"/>
  <c r="C23"/>
  <c r="C19"/>
  <c r="C24"/>
  <c r="C20"/>
  <c r="C24" i="19"/>
  <c r="C23"/>
  <c r="C22"/>
  <c r="C21"/>
  <c r="C20"/>
  <c r="C19"/>
  <c r="C18"/>
  <c r="C17"/>
  <c r="C24" i="18"/>
  <c r="C23"/>
  <c r="C22"/>
  <c r="C21"/>
  <c r="C20"/>
  <c r="C19"/>
  <c r="C18"/>
  <c r="C17"/>
  <c r="C24" i="17"/>
  <c r="C23"/>
  <c r="C22"/>
  <c r="C21"/>
  <c r="C20"/>
  <c r="C19"/>
  <c r="C18"/>
  <c r="C17"/>
  <c r="C24" i="16"/>
  <c r="C23"/>
  <c r="C21"/>
  <c r="C20"/>
  <c r="C19"/>
  <c r="C18"/>
  <c r="C17"/>
  <c r="C24" i="15"/>
  <c r="C23"/>
  <c r="C22"/>
  <c r="C21"/>
  <c r="C20"/>
  <c r="C19"/>
  <c r="C18"/>
  <c r="C17"/>
  <c r="C24" i="14"/>
  <c r="C23"/>
  <c r="C22"/>
  <c r="C21"/>
  <c r="C20"/>
  <c r="C19"/>
  <c r="C18"/>
  <c r="C17"/>
  <c r="C24" i="12"/>
  <c r="C23"/>
  <c r="C22"/>
  <c r="C21"/>
  <c r="C20"/>
  <c r="C18"/>
  <c r="C17"/>
  <c r="C24" i="11"/>
  <c r="C23"/>
  <c r="C22"/>
  <c r="C21"/>
  <c r="C20"/>
  <c r="C19"/>
  <c r="C18"/>
  <c r="C17"/>
  <c r="C22" i="9"/>
  <c r="C19"/>
  <c r="C17"/>
  <c r="C22" i="8"/>
  <c r="C19"/>
  <c r="C17"/>
  <c r="C22" i="7"/>
  <c r="C19"/>
  <c r="C17"/>
  <c r="C22" i="6"/>
  <c r="C19"/>
  <c r="C17"/>
  <c r="C22" i="5"/>
  <c r="C19"/>
  <c r="C17"/>
  <c r="C22" i="4"/>
  <c r="C19"/>
  <c r="C17"/>
  <c r="C19" i="2"/>
  <c r="C17"/>
  <c r="Q23" i="1" l="1"/>
  <c r="N23"/>
  <c r="C25" i="39" l="1"/>
  <c r="C18"/>
  <c r="C21"/>
  <c r="N42" i="1"/>
  <c r="L42"/>
  <c r="R42"/>
  <c r="S42"/>
  <c r="M42" l="1"/>
  <c r="C42" i="20"/>
  <c r="C44" i="38"/>
  <c r="X42" i="1" l="1"/>
  <c r="Y42" l="1"/>
  <c r="W42"/>
  <c r="C42" i="33"/>
  <c r="C34"/>
  <c r="C44" s="1"/>
  <c r="R41" i="1"/>
  <c r="N41"/>
  <c r="L41"/>
  <c r="C42" i="37"/>
  <c r="C32"/>
  <c r="C44" s="1"/>
  <c r="R7" i="1"/>
  <c r="Q7"/>
  <c r="R8"/>
  <c r="Q8"/>
  <c r="R30"/>
  <c r="C52" i="39"/>
  <c r="B52"/>
  <c r="G1" i="1" l="1"/>
  <c r="B53" i="39"/>
  <c r="C44" i="40"/>
  <c r="C35" i="36"/>
  <c r="C34"/>
  <c r="C44" s="1"/>
  <c r="C44" i="35"/>
  <c r="C32" i="34"/>
  <c r="C44" s="1"/>
  <c r="C33" i="32"/>
  <c r="C43"/>
  <c r="C41"/>
  <c r="C45"/>
  <c r="C34" i="30"/>
  <c r="C44" s="1"/>
  <c r="C34" i="29"/>
  <c r="C32"/>
  <c r="C44" i="28"/>
  <c r="C34"/>
  <c r="C44" i="27"/>
  <c r="C32"/>
  <c r="C44" i="29" l="1"/>
  <c r="C44" i="26"/>
  <c r="C44" i="25"/>
  <c r="C44" i="24"/>
  <c r="C44" i="31"/>
  <c r="C44" i="23"/>
  <c r="C35" i="22"/>
  <c r="C44" i="19"/>
  <c r="C42" i="18"/>
  <c r="C44" s="1"/>
  <c r="C44" i="17"/>
  <c r="C42" i="16"/>
  <c r="C44" s="1"/>
  <c r="C44" i="15"/>
  <c r="C44" i="14"/>
  <c r="C35" i="13"/>
  <c r="C34"/>
  <c r="C44" s="1"/>
  <c r="C32" i="12"/>
  <c r="C44" s="1"/>
  <c r="C44" i="11"/>
  <c r="C34"/>
  <c r="C42" i="9"/>
  <c r="C42" i="8"/>
  <c r="C35"/>
  <c r="C35" i="7"/>
  <c r="C42" i="6"/>
  <c r="C32"/>
  <c r="C42" i="4"/>
  <c r="C44" s="1"/>
  <c r="C42" i="3"/>
  <c r="Q30" i="1" l="1"/>
  <c r="X18" l="1"/>
  <c r="M18"/>
  <c r="N18"/>
  <c r="T18"/>
  <c r="U18"/>
  <c r="V18"/>
  <c r="Q18"/>
  <c r="R18"/>
  <c r="R16"/>
  <c r="N16"/>
  <c r="M16"/>
  <c r="P16"/>
  <c r="Q16"/>
  <c r="X16"/>
  <c r="Q14"/>
  <c r="P14"/>
  <c r="M14"/>
  <c r="N14"/>
  <c r="R14"/>
  <c r="X14"/>
  <c r="X12"/>
  <c r="Q12"/>
  <c r="R12"/>
  <c r="N12"/>
  <c r="M12"/>
  <c r="L12"/>
  <c r="T12"/>
  <c r="M4"/>
  <c r="N36"/>
  <c r="P9"/>
  <c r="N9"/>
  <c r="P4"/>
  <c r="N4"/>
  <c r="X4"/>
  <c r="Q4"/>
  <c r="R4"/>
  <c r="T4"/>
  <c r="U4"/>
  <c r="V4" s="1"/>
  <c r="Q27"/>
  <c r="R27"/>
  <c r="M25"/>
  <c r="N25"/>
  <c r="N24"/>
  <c r="Q24"/>
  <c r="R24"/>
  <c r="S24"/>
  <c r="M24"/>
  <c r="X24"/>
  <c r="Q28"/>
  <c r="R28"/>
  <c r="M28"/>
  <c r="L28"/>
  <c r="Q34"/>
  <c r="R34"/>
  <c r="X34"/>
  <c r="N34"/>
  <c r="N20"/>
  <c r="M20"/>
  <c r="Q20"/>
  <c r="R20"/>
  <c r="X20"/>
  <c r="Q21"/>
  <c r="R21"/>
  <c r="X21"/>
  <c r="M21"/>
  <c r="N21"/>
  <c r="X36"/>
  <c r="M36"/>
  <c r="M32"/>
  <c r="N32"/>
  <c r="Q32"/>
  <c r="R32"/>
  <c r="X11"/>
  <c r="R11"/>
  <c r="Q11"/>
  <c r="N11"/>
  <c r="M11"/>
  <c r="L29" l="1"/>
  <c r="X29"/>
  <c r="Q29"/>
  <c r="N29"/>
  <c r="R29"/>
  <c r="R19"/>
  <c r="N19"/>
  <c r="P33"/>
  <c r="N33"/>
  <c r="Q33"/>
  <c r="R33"/>
  <c r="T15"/>
  <c r="S15"/>
  <c r="Q15"/>
  <c r="R15"/>
  <c r="U15"/>
  <c r="L15"/>
  <c r="X15"/>
  <c r="R10" l="1"/>
  <c r="Q10"/>
  <c r="N10"/>
  <c r="M10"/>
  <c r="X10"/>
  <c r="X8"/>
  <c r="L10"/>
  <c r="B3"/>
  <c r="C43" s="1"/>
  <c r="U35"/>
  <c r="V35" s="1"/>
  <c r="T35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"/>
  <c r="Q35"/>
  <c r="R35"/>
  <c r="Y41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C34" i="39"/>
  <c r="C44" s="1"/>
  <c r="C34" i="22"/>
  <c r="C44" s="1"/>
  <c r="C44" i="20"/>
  <c r="C39" i="1"/>
  <c r="S41"/>
  <c r="S38"/>
  <c r="S37"/>
  <c r="S36"/>
  <c r="S35"/>
  <c r="S34"/>
  <c r="S33"/>
  <c r="S32"/>
  <c r="S31"/>
  <c r="S30"/>
  <c r="S29"/>
  <c r="S28"/>
  <c r="S27"/>
  <c r="S26"/>
  <c r="S25"/>
  <c r="S23"/>
  <c r="S22"/>
  <c r="S21"/>
  <c r="S20"/>
  <c r="S19"/>
  <c r="S18"/>
  <c r="S17"/>
  <c r="S16"/>
  <c r="S14"/>
  <c r="S13"/>
  <c r="S12"/>
  <c r="S11"/>
  <c r="S10"/>
  <c r="S9"/>
  <c r="S8"/>
  <c r="S7"/>
  <c r="S6"/>
  <c r="S5"/>
  <c r="S4"/>
  <c r="M6"/>
  <c r="M2" i="4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1"/>
  <c r="O42" i="1" l="1"/>
  <c r="K42" s="1"/>
  <c r="O7"/>
  <c r="O9"/>
  <c r="O11"/>
  <c r="O13"/>
  <c r="O15"/>
  <c r="O17"/>
  <c r="O19"/>
  <c r="O21"/>
  <c r="O23"/>
  <c r="O25"/>
  <c r="O27"/>
  <c r="O29"/>
  <c r="O31"/>
  <c r="O33"/>
  <c r="O35"/>
  <c r="O37"/>
  <c r="O39"/>
  <c r="O41"/>
  <c r="O4"/>
  <c r="O6"/>
  <c r="O8"/>
  <c r="O10"/>
  <c r="O12"/>
  <c r="O14"/>
  <c r="O16"/>
  <c r="O18"/>
  <c r="O20"/>
  <c r="O22"/>
  <c r="O24"/>
  <c r="O26"/>
  <c r="O28"/>
  <c r="O30"/>
  <c r="O32"/>
  <c r="O34"/>
  <c r="O36"/>
  <c r="O38"/>
  <c r="O40"/>
  <c r="O5"/>
  <c r="Q6"/>
  <c r="X6"/>
  <c r="X23"/>
  <c r="L23"/>
  <c r="Q9"/>
  <c r="X9"/>
  <c r="R9"/>
  <c r="N13" l="1"/>
  <c r="M13"/>
  <c r="X13"/>
  <c r="R13"/>
  <c r="Q13"/>
  <c r="N17"/>
  <c r="M17"/>
  <c r="R17"/>
  <c r="Q17"/>
  <c r="X17"/>
  <c r="L17"/>
  <c r="M22"/>
  <c r="P22"/>
  <c r="N22"/>
  <c r="Q22"/>
  <c r="R22"/>
  <c r="X22"/>
  <c r="X37"/>
  <c r="L30"/>
  <c r="Q37"/>
  <c r="M37"/>
  <c r="M5"/>
  <c r="P7" l="1"/>
  <c r="N7"/>
  <c r="Q5"/>
  <c r="M8"/>
  <c r="X35"/>
  <c r="N35"/>
  <c r="X26"/>
  <c r="Q26"/>
  <c r="R26"/>
  <c r="R25"/>
  <c r="M26"/>
  <c r="N26"/>
  <c r="L26"/>
  <c r="X25"/>
  <c r="Q25"/>
  <c r="P25"/>
  <c r="R38"/>
  <c r="M38"/>
  <c r="R5"/>
  <c r="X5"/>
  <c r="Q31"/>
  <c r="R31"/>
  <c r="N31"/>
  <c r="M30"/>
  <c r="U5"/>
  <c r="V5" s="1"/>
  <c r="U6"/>
  <c r="V6" s="1"/>
  <c r="U7"/>
  <c r="V7" s="1"/>
  <c r="U8"/>
  <c r="V8" s="1"/>
  <c r="U9"/>
  <c r="V9" s="1"/>
  <c r="U10"/>
  <c r="V10" s="1"/>
  <c r="U11"/>
  <c r="V11" s="1"/>
  <c r="U12"/>
  <c r="V12" s="1"/>
  <c r="U13"/>
  <c r="V13" s="1"/>
  <c r="U14"/>
  <c r="V14" s="1"/>
  <c r="U16"/>
  <c r="V16" s="1"/>
  <c r="U17"/>
  <c r="V17" s="1"/>
  <c r="U19"/>
  <c r="V19" s="1"/>
  <c r="U20"/>
  <c r="V20" s="1"/>
  <c r="U21"/>
  <c r="V21" s="1"/>
  <c r="U22"/>
  <c r="V22" s="1"/>
  <c r="U23"/>
  <c r="V23" s="1"/>
  <c r="U24"/>
  <c r="V24" s="1"/>
  <c r="U25"/>
  <c r="V25" s="1"/>
  <c r="U26"/>
  <c r="V26" s="1"/>
  <c r="U27"/>
  <c r="V27" s="1"/>
  <c r="U28"/>
  <c r="V28" s="1"/>
  <c r="U29"/>
  <c r="V29" s="1"/>
  <c r="U30"/>
  <c r="V30" s="1"/>
  <c r="U31"/>
  <c r="V31" s="1"/>
  <c r="U32"/>
  <c r="V32" s="1"/>
  <c r="U33"/>
  <c r="V33" s="1"/>
  <c r="U34"/>
  <c r="V34" s="1"/>
  <c r="U36"/>
  <c r="V36" s="1"/>
  <c r="U37"/>
  <c r="V37" s="1"/>
  <c r="U38"/>
  <c r="V38" s="1"/>
  <c r="U39"/>
  <c r="V39" s="1"/>
  <c r="U40"/>
  <c r="V40" s="1"/>
  <c r="U41"/>
  <c r="V41" s="1"/>
  <c r="T5"/>
  <c r="T6"/>
  <c r="T7"/>
  <c r="T8"/>
  <c r="T9"/>
  <c r="T10"/>
  <c r="T11"/>
  <c r="T13"/>
  <c r="T14"/>
  <c r="T16"/>
  <c r="T17"/>
  <c r="T19"/>
  <c r="T20"/>
  <c r="T21"/>
  <c r="T22"/>
  <c r="T23"/>
  <c r="T24"/>
  <c r="T25"/>
  <c r="T26"/>
  <c r="T27"/>
  <c r="T28"/>
  <c r="T29"/>
  <c r="T30"/>
  <c r="T31"/>
  <c r="T32"/>
  <c r="T33"/>
  <c r="T34"/>
  <c r="T36"/>
  <c r="T37"/>
  <c r="T38"/>
  <c r="T39"/>
  <c r="T40"/>
  <c r="T41"/>
  <c r="K4" l="1"/>
  <c r="K6"/>
  <c r="K41"/>
  <c r="K37"/>
  <c r="K33"/>
  <c r="K29"/>
  <c r="K21"/>
  <c r="K17"/>
  <c r="K13"/>
  <c r="K9"/>
  <c r="K20"/>
  <c r="K30"/>
  <c r="K31"/>
  <c r="K40"/>
  <c r="K36"/>
  <c r="K28"/>
  <c r="K24"/>
  <c r="K16"/>
  <c r="K12"/>
  <c r="K39"/>
  <c r="K27"/>
  <c r="K23"/>
  <c r="K19"/>
  <c r="K15"/>
  <c r="K11"/>
  <c r="K22"/>
  <c r="K10"/>
  <c r="K14"/>
  <c r="K26"/>
  <c r="K5"/>
  <c r="K7"/>
  <c r="K34"/>
  <c r="K18"/>
  <c r="K38"/>
  <c r="K8"/>
  <c r="K35"/>
  <c r="K25"/>
  <c r="K32"/>
  <c r="C33"/>
  <c r="E32" s="1"/>
  <c r="C22" i="10" l="1"/>
  <c r="C19"/>
  <c r="C17"/>
  <c r="C19" i="12"/>
  <c r="C22" i="13"/>
  <c r="C19"/>
  <c r="C17"/>
  <c r="C22" i="39" l="1"/>
  <c r="C19"/>
  <c r="C17"/>
  <c r="B7" i="10"/>
  <c r="B7" i="9"/>
  <c r="B7" i="8"/>
  <c r="B7" i="7"/>
  <c r="C21" i="34"/>
  <c r="C21" i="22"/>
  <c r="C22" i="21"/>
  <c r="C19"/>
  <c r="C17"/>
  <c r="C21" i="13"/>
  <c r="C18"/>
  <c r="B7" i="6"/>
  <c r="B7" i="5"/>
  <c r="B7" i="4"/>
  <c r="B7" i="3"/>
  <c r="B7" i="21"/>
  <c r="C18" s="1"/>
  <c r="C22" i="2"/>
  <c r="B7"/>
  <c r="C24" i="4" l="1"/>
  <c r="C20"/>
  <c r="C18"/>
  <c r="C23"/>
  <c r="C21"/>
  <c r="C34" i="6"/>
  <c r="C44" s="1"/>
  <c r="C23"/>
  <c r="C21"/>
  <c r="C24"/>
  <c r="C20"/>
  <c r="C18"/>
  <c r="C34" i="7"/>
  <c r="C44" s="1"/>
  <c r="C24"/>
  <c r="C23"/>
  <c r="C20"/>
  <c r="C18"/>
  <c r="C24" i="9"/>
  <c r="C20"/>
  <c r="C18"/>
  <c r="C23"/>
  <c r="C21"/>
  <c r="C44" i="2"/>
  <c r="C24"/>
  <c r="C20"/>
  <c r="C34"/>
  <c r="C21"/>
  <c r="C34" i="3"/>
  <c r="C44" s="1"/>
  <c r="C34" i="5"/>
  <c r="C44" s="1"/>
  <c r="C23"/>
  <c r="C20"/>
  <c r="C18"/>
  <c r="C24"/>
  <c r="C34" i="8"/>
  <c r="C44" s="1"/>
  <c r="C24"/>
  <c r="C20"/>
  <c r="C18"/>
  <c r="C23"/>
  <c r="C21"/>
  <c r="C34" i="10"/>
  <c r="C44" s="1"/>
  <c r="C21" i="5"/>
  <c r="C21" i="7"/>
  <c r="C34" i="9"/>
  <c r="C44" s="1"/>
  <c r="C18" i="10"/>
  <c r="C21" i="21"/>
  <c r="C21" i="10"/>
  <c r="G39" i="41" l="1"/>
  <c r="F39"/>
  <c r="C20" i="1"/>
  <c r="C8"/>
  <c r="C25" i="21" l="1"/>
  <c r="C24" i="39"/>
  <c r="C24" i="13"/>
  <c r="C24" i="10"/>
  <c r="C23" i="1"/>
  <c r="C6"/>
  <c r="C7"/>
  <c r="C28"/>
  <c r="C27"/>
  <c r="C26"/>
  <c r="C18"/>
  <c r="C17"/>
  <c r="C16"/>
  <c r="C15"/>
  <c r="C13"/>
  <c r="C14"/>
  <c r="C25"/>
  <c r="C20" i="39" l="1"/>
  <c r="C20" i="21"/>
  <c r="C20" i="13"/>
  <c r="C20" i="10"/>
  <c r="E13" i="1"/>
  <c r="C26" i="19" l="1"/>
  <c r="C45" s="1"/>
  <c r="C23" i="10"/>
  <c r="C26" s="1"/>
  <c r="C45" s="1"/>
  <c r="C26" i="20"/>
  <c r="C45" s="1"/>
  <c r="C26" i="38"/>
  <c r="C45" s="1"/>
  <c r="C26" i="35"/>
  <c r="C45" s="1"/>
  <c r="C26" i="33"/>
  <c r="C45" s="1"/>
  <c r="C26" i="29"/>
  <c r="C45" s="1"/>
  <c r="C26" i="26"/>
  <c r="C45" s="1"/>
  <c r="C26" i="31"/>
  <c r="C45" s="1"/>
  <c r="C26" i="22"/>
  <c r="C45" s="1"/>
  <c r="C26" i="16"/>
  <c r="C45" s="1"/>
  <c r="C26" i="5"/>
  <c r="C45" s="1"/>
  <c r="C27" i="32"/>
  <c r="C46" s="1"/>
  <c r="C26" i="28"/>
  <c r="C45" s="1"/>
  <c r="C26" i="18"/>
  <c r="C45" s="1"/>
  <c r="C26" i="15"/>
  <c r="C45" s="1"/>
  <c r="C26" i="12"/>
  <c r="C45" s="1"/>
  <c r="C26" i="9"/>
  <c r="C45" s="1"/>
  <c r="C26" i="6"/>
  <c r="C45" s="1"/>
  <c r="C23" i="39"/>
  <c r="C26" s="1"/>
  <c r="C26" i="34"/>
  <c r="C45" s="1"/>
  <c r="C26" i="30"/>
  <c r="C45" s="1"/>
  <c r="C26" i="27"/>
  <c r="C45" s="1"/>
  <c r="C26" i="24"/>
  <c r="C45" s="1"/>
  <c r="C26" i="23"/>
  <c r="C45" s="1"/>
  <c r="C26" i="17"/>
  <c r="C45" s="1"/>
  <c r="C24" i="21"/>
  <c r="C27" s="1"/>
  <c r="C26" i="8"/>
  <c r="C45" s="1"/>
  <c r="C26" i="7"/>
  <c r="C45" s="1"/>
  <c r="C26" i="11"/>
  <c r="C45" s="1"/>
  <c r="C26" i="4"/>
  <c r="C45" s="1"/>
  <c r="C26" i="40"/>
  <c r="C45" s="1"/>
  <c r="C26" i="36"/>
  <c r="C45" s="1"/>
  <c r="C26" i="14"/>
  <c r="C45" s="1"/>
  <c r="C23" i="13"/>
  <c r="C26" s="1"/>
  <c r="C45" s="1"/>
  <c r="C26" i="3"/>
  <c r="C45" s="1"/>
  <c r="C26" i="2"/>
  <c r="C45" s="1"/>
  <c r="C26" i="25"/>
  <c r="C45" s="1"/>
  <c r="C26" i="37"/>
  <c r="C45" s="1"/>
  <c r="C45" i="39" l="1"/>
</calcChain>
</file>

<file path=xl/sharedStrings.xml><?xml version="1.0" encoding="utf-8"?>
<sst xmlns="http://schemas.openxmlformats.org/spreadsheetml/2006/main" count="3006" uniqueCount="212">
  <si>
    <t>ОТЧЕТ</t>
  </si>
  <si>
    <t>Договора управления многоквартирным домом</t>
  </si>
  <si>
    <t>По адресу: ул. Южно-Сахалинская 19</t>
  </si>
  <si>
    <t>Наименование</t>
  </si>
  <si>
    <t xml:space="preserve">Начислено жителям дома за отчетный период </t>
  </si>
  <si>
    <t>Оплачено жителями за отчетный период</t>
  </si>
  <si>
    <t>РАБОТЫ ПО СОДЕРЖАНИЮ ДОМА</t>
  </si>
  <si>
    <t>НАИМЕНОВАНИЕ РАБОТ</t>
  </si>
  <si>
    <t>Ед. изм.</t>
  </si>
  <si>
    <t>Сумма, руб.</t>
  </si>
  <si>
    <t>Работа дворника по уборке территории двора в зимний и летний период</t>
  </si>
  <si>
    <t>6 раз в неделю</t>
  </si>
  <si>
    <t>Расчистка территории от снега с привлечением транспорта</t>
  </si>
  <si>
    <t>факт</t>
  </si>
  <si>
    <t>Противогололедные мероприятия</t>
  </si>
  <si>
    <t>Вывоз мусора</t>
  </si>
  <si>
    <t>ежедневно</t>
  </si>
  <si>
    <t>Обработка подвальных помещений от крыс, блох, комаров</t>
  </si>
  <si>
    <t>Работа уборщиц по уборке подъездов</t>
  </si>
  <si>
    <t>5раз в неделю</t>
  </si>
  <si>
    <t>Мытье лестничных площадок и маршей всех этажей</t>
  </si>
  <si>
    <t>2 раза в год-май, октябрь</t>
  </si>
  <si>
    <t>Услуги по управлению:работа паспортного стола;выдача справок;тех.условий;аренда здания ООО "Старый дом ЖЭУ-5";услуги ООО «Гарант»  по обработке и начислению платежей;комиссионные банков и почтамта по сбору платежей;содержание аппарата работников АУП</t>
  </si>
  <si>
    <t>в течение года</t>
  </si>
  <si>
    <t>Услуги аварийно-ремонтной службы</t>
  </si>
  <si>
    <t>по договору</t>
  </si>
  <si>
    <t>Сервисное обслуживание системы учета тепловой энергии</t>
  </si>
  <si>
    <t>ИТОГО</t>
  </si>
  <si>
    <t>РАБОТЫ ПО ТЕКУЩЕМУ СОДЕРЖАНИЮ И ТЕКУЩЕМУ РЕМОНТУ</t>
  </si>
  <si>
    <t>очистка  от наледи и снега</t>
  </si>
  <si>
    <t>изготовление и установка выхода на кровлю с обивкой жестью</t>
  </si>
  <si>
    <t>шт</t>
  </si>
  <si>
    <t>ремонт кровли</t>
  </si>
  <si>
    <t>м2</t>
  </si>
  <si>
    <t>ремонт межпанельных швов</t>
  </si>
  <si>
    <t>2. Отопление, горячее и холодное водоснабжение, канализация</t>
  </si>
  <si>
    <t>смена трубопооводов гвс 20мм,25мм,32мм кв. 31</t>
  </si>
  <si>
    <t>очистка канализационной сети, 1,3п</t>
  </si>
  <si>
    <t>смена вентиля ,сгона хвс 2п</t>
  </si>
  <si>
    <t>осмотр инженерного оборудования квартир</t>
  </si>
  <si>
    <t>узел</t>
  </si>
  <si>
    <t>осмотр инженерного оборудования водомерного узла</t>
  </si>
  <si>
    <t>гидравлическое испытание трубопроводов систем отопления</t>
  </si>
  <si>
    <t>м.п.</t>
  </si>
  <si>
    <t>промывка системы отопления</t>
  </si>
  <si>
    <t>м3</t>
  </si>
  <si>
    <t>запуск системы отопления</t>
  </si>
  <si>
    <t>Начало отопительного сезона</t>
  </si>
  <si>
    <t>замер параметров теплоносителя</t>
  </si>
  <si>
    <t>Зимний период</t>
  </si>
  <si>
    <t>3.Электроснабжение</t>
  </si>
  <si>
    <t>восстановление освещения по дому (смена ламп, патрона )2п</t>
  </si>
  <si>
    <t>осмотр линии эл.сетей и оборудования на л/клетках, 3п</t>
  </si>
  <si>
    <t>ч/ч</t>
  </si>
  <si>
    <t>Всего по содержанию и текущему ремонту</t>
  </si>
  <si>
    <t>О ВЫПОЛНЕНИИ ООО «Старый дом-ЖЭУ-5»</t>
  </si>
  <si>
    <t>с 01.01.2016 по 31.12.2016</t>
  </si>
  <si>
    <t>восстановление освещения по дому со сменой ламп ,провода,выключателя,патрона</t>
  </si>
  <si>
    <t>восстановление освещения по дому со сменой ламп, ,патронов</t>
  </si>
  <si>
    <t>Долг на 01.01.2016</t>
  </si>
  <si>
    <t>Задолженность жителями на 01.01.2017</t>
  </si>
  <si>
    <t>ВИЦ</t>
  </si>
  <si>
    <t>Директор ООО «Старый дом-ЖЭУ-5»                        ____________________            /   Е.В.Гармаш</t>
  </si>
  <si>
    <t>Амроян</t>
  </si>
  <si>
    <t>Консультант</t>
  </si>
  <si>
    <t>1с</t>
  </si>
  <si>
    <t>канцтовары</t>
  </si>
  <si>
    <t>картриджи</t>
  </si>
  <si>
    <t>управление</t>
  </si>
  <si>
    <t>налоги</t>
  </si>
  <si>
    <t>жкх-групп</t>
  </si>
  <si>
    <t>фонд зп весь</t>
  </si>
  <si>
    <t>фонд зп ауп</t>
  </si>
  <si>
    <t>фонд зп моп</t>
  </si>
  <si>
    <t>фонд зп ртр</t>
  </si>
  <si>
    <t>аренда здания</t>
  </si>
  <si>
    <t>ком ресурсы на здание</t>
  </si>
  <si>
    <t>вывоз мусора</t>
  </si>
  <si>
    <t>лифты</t>
  </si>
  <si>
    <t>охрана</t>
  </si>
  <si>
    <t>интернет, телефон</t>
  </si>
  <si>
    <t>Площадь домов жилые</t>
  </si>
  <si>
    <t>площадь домов нежилые</t>
  </si>
  <si>
    <t>Автовышка зима</t>
  </si>
  <si>
    <t>Автовышка лето</t>
  </si>
  <si>
    <t>Аварийка машина</t>
  </si>
  <si>
    <t>Южно-Сахалинская</t>
  </si>
  <si>
    <t>откр.схема</t>
  </si>
  <si>
    <t>Сахалинская</t>
  </si>
  <si>
    <t>106а</t>
  </si>
  <si>
    <t>108а</t>
  </si>
  <si>
    <t>Ленина</t>
  </si>
  <si>
    <t>184а</t>
  </si>
  <si>
    <t>242а</t>
  </si>
  <si>
    <t xml:space="preserve">Ангарский </t>
  </si>
  <si>
    <t>Железнодорожная</t>
  </si>
  <si>
    <t>18а</t>
  </si>
  <si>
    <t xml:space="preserve">Северная </t>
  </si>
  <si>
    <t>бойлер</t>
  </si>
  <si>
    <t xml:space="preserve">Песочная </t>
  </si>
  <si>
    <t>Крюкова</t>
  </si>
  <si>
    <t>35а</t>
  </si>
  <si>
    <t>Мира</t>
  </si>
  <si>
    <t>97 корп.1</t>
  </si>
  <si>
    <t>97 корп.2</t>
  </si>
  <si>
    <t>Чехова</t>
  </si>
  <si>
    <t>70б</t>
  </si>
  <si>
    <t>Содержание и текущий ремонт, руб.</t>
  </si>
  <si>
    <t>1.Плотницкие и ремонтные работы</t>
  </si>
  <si>
    <t>ремонт подъездов</t>
  </si>
  <si>
    <t>теплоучет</t>
  </si>
  <si>
    <t>Площадь дома, м2</t>
  </si>
  <si>
    <t>пест контроль</t>
  </si>
  <si>
    <t>По адресу: пер. Ангарский, д. 4</t>
  </si>
  <si>
    <t>По адресу: пер. Ангарский, д. 6</t>
  </si>
  <si>
    <t>По адресу: ул. Железнодорожная, д. 16</t>
  </si>
  <si>
    <t>По адресу: улЖелезнодорожная, д. 18а</t>
  </si>
  <si>
    <t>По адресу: ул. Железнодорожная, д. 18</t>
  </si>
  <si>
    <t>По адресу: ул. Крюкова, д. 35а</t>
  </si>
  <si>
    <t>По адресу: ул. Крюкова, д. 64</t>
  </si>
  <si>
    <t>По адресу: ул. Ленина, д. 166</t>
  </si>
  <si>
    <t>По адресу: ул. Ленина, д. 172</t>
  </si>
  <si>
    <t>По адресу: ул. Ленина, д. 174</t>
  </si>
  <si>
    <t>По адресу: ул. Ленина, д. 180</t>
  </si>
  <si>
    <t>По адресу: ул. Ленина, д. 182</t>
  </si>
  <si>
    <t>По адресу: ул. Ленина, д. 184а</t>
  </si>
  <si>
    <t>По адресу: ул. Ленина, д. 184</t>
  </si>
  <si>
    <t>По адресу: ул. Ленина, д. 242а</t>
  </si>
  <si>
    <t>По адресу: ул. Ленина, д. 242</t>
  </si>
  <si>
    <t>По адресу: ул. Ленина, д. 248</t>
  </si>
  <si>
    <t>По адресу: ул.Ленина, д. 250</t>
  </si>
  <si>
    <t>По адресу: пр. Мира, д. 97, корп. 1</t>
  </si>
  <si>
    <t>По адресу: ул. Песочная, д. 33</t>
  </si>
  <si>
    <t>По адресу: ул. Сахалинская, д. 61</t>
  </si>
  <si>
    <t>По адресу: ул. Сахалинская, д. 88</t>
  </si>
  <si>
    <t>По адресу: ул. Сахалинская, д. 100</t>
  </si>
  <si>
    <t>По адресу: ул. Сахалинская, д. 102</t>
  </si>
  <si>
    <t>По адресу: ул. Сахалинская, д. 106а</t>
  </si>
  <si>
    <t>По адресу: ул. Сахалинская, д. 106</t>
  </si>
  <si>
    <t>По адресу: ул. Сахалинская, д. 108а</t>
  </si>
  <si>
    <t>По адресу: ул. Сахалинская, д. 108</t>
  </si>
  <si>
    <t>По адресу: ул. Сахалинская, д. 147</t>
  </si>
  <si>
    <t>По адресу: ул.Северная, д. 44</t>
  </si>
  <si>
    <t>По адресу: ул. Чехова, д. 70б, корп. 2</t>
  </si>
  <si>
    <t>По адресу: ул. Южно-Сахалинская, д. 6</t>
  </si>
  <si>
    <t>По адресу: ул. Южно-Сахалинская, д. 8</t>
  </si>
  <si>
    <t>По адресу: ул. Южно-Сахалинская, д. 10</t>
  </si>
  <si>
    <t>По адресу: ул. Южно-Сахалинская, д. 11</t>
  </si>
  <si>
    <t>По адресу: ул. Южно-Сахалинская, д. 17</t>
  </si>
  <si>
    <t>По адресу: ул. Южно-Сахалинская, д. 19</t>
  </si>
  <si>
    <t>По адресу: ул. Южно-Сахалинская, д. 27</t>
  </si>
  <si>
    <t>Обслуживание лифтов</t>
  </si>
  <si>
    <t>зарплата малярам</t>
  </si>
  <si>
    <t>строительные товары</t>
  </si>
  <si>
    <t>согласно тарифа</t>
  </si>
  <si>
    <t>осмотр</t>
  </si>
  <si>
    <t>ремонт кровли, козырьков, фасада</t>
  </si>
  <si>
    <t>смена трубопроводов, вентелей</t>
  </si>
  <si>
    <t xml:space="preserve"> </t>
  </si>
  <si>
    <t>ремонт межпанельных швов, очистка чердака/подвала от мусора</t>
  </si>
  <si>
    <t>Сроки проведения</t>
  </si>
  <si>
    <t>Отопительный сезон</t>
  </si>
  <si>
    <t>очистка канализационной сети, ремонт и замена канализационных труб</t>
  </si>
  <si>
    <t>смена трубопроводов ГВС, ХВС, вентилей, установка сопла, задвижек</t>
  </si>
  <si>
    <t>Профосмотр линии эл.сетей лест.клетки/подвал/чердак, профосмотр эл.щитовых поквартирно</t>
  </si>
  <si>
    <t>электротовары</t>
  </si>
  <si>
    <t>сантехн товары</t>
  </si>
  <si>
    <t>сопла</t>
  </si>
  <si>
    <t>задвижки</t>
  </si>
  <si>
    <t>Услуги по управлению:работа паспортного стола;выдача справок;тех.условий;аренда и содержание административного здания ООО "Старый дом ЖЭУ-5";услуги ООО "ВИЦ" по обработке и начислению платежей; юридическое сопровождение; информационное сопровождение; комиссионные банков и почтамта по сбору платежей;содержание аппарата работников АУП.</t>
  </si>
  <si>
    <t>Услуги ремонтно-аварийной службы</t>
  </si>
  <si>
    <t>очистка чердаков, подвалов</t>
  </si>
  <si>
    <t>площадь чердаки/подвалы</t>
  </si>
  <si>
    <t>гидравлическое испытание трубопроводов систем отопления, восстановление циркуляции</t>
  </si>
  <si>
    <t>Сервисное обслуживание системы учета тепловой энергии, поверка приборов</t>
  </si>
  <si>
    <t>ремонт подъездов, чердака, подвала</t>
  </si>
  <si>
    <t>ремонт подъездов, подвала, чердака</t>
  </si>
  <si>
    <t>НАЧИСЛЕНИЕ И ОПЛАТА КОММУНАЛЬНЫХ УСЛУГ</t>
  </si>
  <si>
    <t>Начислено</t>
  </si>
  <si>
    <t>Оплачено</t>
  </si>
  <si>
    <t>Электроснабжение, электроснабжение на ОДН</t>
  </si>
  <si>
    <t>Отопление, ГВС (подогрев), ГВС компонент на тепловую энергию, ГВС компонент на теплоноситель, ГВС ОДН компонент на тепловую энергию, ГВС ОДН компонент на теплоноситель</t>
  </si>
  <si>
    <t>ХВС, ХВС на ГВС, водоотведение, ХВС на ОДН</t>
  </si>
  <si>
    <t>Итого</t>
  </si>
  <si>
    <t>Итого задолженность населения за коммунальные услуги на 01.01.2017 г.</t>
  </si>
  <si>
    <t>Задолженность населения за коммунальные услуги на 01.01.2016 г.</t>
  </si>
  <si>
    <t xml:space="preserve">Южно-Сахалинская </t>
  </si>
  <si>
    <t>начислено жителям</t>
  </si>
  <si>
    <t>с 01.07.2017 по 31.12.2017</t>
  </si>
  <si>
    <t>Долг на 01.07.2017</t>
  </si>
  <si>
    <t>Задолженность жителями на 01.01.2018</t>
  </si>
  <si>
    <t>и.о Директор ООО «Старый дом-ЖЭУ-5»                        ____________________            /   Петриченко А.Н.</t>
  </si>
  <si>
    <t>7193.74</t>
  </si>
  <si>
    <t>119780/2</t>
  </si>
  <si>
    <t>63749/2</t>
  </si>
  <si>
    <t>40025/2</t>
  </si>
  <si>
    <t>38952/2</t>
  </si>
  <si>
    <t>и.о.Директор ООО «Старый дом-ЖЭУ-5»                        ____________________            /   Петриченко А.Н.</t>
  </si>
  <si>
    <t>Долг на 01.07.2016</t>
  </si>
  <si>
    <t xml:space="preserve"> И.О.Директор ООО «Старый дом-ЖЭУ-5»                        ____________________            /  Петриченко А.Н.</t>
  </si>
  <si>
    <t xml:space="preserve"> и.о.Директор ООО «Старый дом-ЖЭУ-5»                        ____________________            /   Петриченко А.Н.</t>
  </si>
  <si>
    <t>И.О.Директор ООО «Старый дом-ЖЭУ-5»                        ____________________            / Петриченко А.Н.</t>
  </si>
  <si>
    <t>это не наш дом</t>
  </si>
  <si>
    <t>и.о. Директор ООО «Старый дом-ЖЭУ-5»                        ____________________            /  Петриченко А.Н.</t>
  </si>
  <si>
    <t xml:space="preserve"> и.о. Директор ООО «Старый дом-ЖЭУ-5»                        ____________________            /  Петриченко А.Н.</t>
  </si>
  <si>
    <t>ЭТО НЕ НАШ ДОМ</t>
  </si>
  <si>
    <t xml:space="preserve"> И.О.Директор ООО «Старый дом-ЖЭУ-5»                        ____________________            /Петриченко А.Н.</t>
  </si>
  <si>
    <t>и.о.Директор ООО «Старый дом-ЖЭУ-5»                        ____________________            /  Петриченко А.Н.</t>
  </si>
  <si>
    <t>и.о. Директор ООО «Старый дом-ЖЭУ-5»                        ____________________            /Петриченко А.Н.</t>
  </si>
  <si>
    <t xml:space="preserve"> И.О. Директор ООО «Старый дом-ЖЭУ-5»                        ____________________            /   Петриченко  А.Н.</t>
  </si>
  <si>
    <t>не  наш дом</t>
  </si>
  <si>
    <t>с 01.07.2017по 31.12.2017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</si>
</sst>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/>
    <xf numFmtId="2" fontId="0" fillId="0" borderId="0" xfId="0" applyNumberFormat="1"/>
    <xf numFmtId="3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/>
    <xf numFmtId="3" fontId="4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3" fontId="4" fillId="0" borderId="5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/>
    <xf numFmtId="3" fontId="5" fillId="0" borderId="5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4" fontId="4" fillId="3" borderId="5" xfId="0" applyNumberFormat="1" applyFont="1" applyFill="1" applyBorder="1"/>
    <xf numFmtId="3" fontId="5" fillId="3" borderId="5" xfId="0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/>
    <xf numFmtId="3" fontId="4" fillId="0" borderId="7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3" fontId="6" fillId="0" borderId="8" xfId="0" applyNumberFormat="1" applyFont="1" applyFill="1" applyBorder="1"/>
    <xf numFmtId="4" fontId="6" fillId="0" borderId="9" xfId="0" applyNumberFormat="1" applyFont="1" applyFill="1" applyBorder="1"/>
    <xf numFmtId="3" fontId="6" fillId="0" borderId="9" xfId="0" applyNumberFormat="1" applyFont="1" applyFill="1" applyBorder="1" applyAlignment="1">
      <alignment horizontal="center"/>
    </xf>
    <xf numFmtId="4" fontId="7" fillId="0" borderId="9" xfId="0" applyNumberFormat="1" applyFont="1" applyFill="1" applyBorder="1"/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0" fillId="4" borderId="0" xfId="0" applyFill="1"/>
    <xf numFmtId="4" fontId="10" fillId="0" borderId="0" xfId="0" applyNumberFormat="1" applyFont="1"/>
    <xf numFmtId="2" fontId="3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vertical="center"/>
    </xf>
    <xf numFmtId="4" fontId="14" fillId="0" borderId="0" xfId="0" applyNumberFormat="1" applyFont="1"/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5" fillId="4" borderId="0" xfId="0" applyFont="1" applyFill="1" applyAlignment="1">
      <alignment vertical="center"/>
    </xf>
    <xf numFmtId="0" fontId="12" fillId="4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2" fontId="16" fillId="0" borderId="1" xfId="0" applyNumberFormat="1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0" fillId="5" borderId="0" xfId="0" applyFill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4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4" fontId="4" fillId="5" borderId="1" xfId="0" applyNumberFormat="1" applyFont="1" applyFill="1" applyBorder="1"/>
    <xf numFmtId="3" fontId="4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3" fontId="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6" borderId="0" xfId="0" applyFont="1" applyFill="1"/>
    <xf numFmtId="4" fontId="21" fillId="6" borderId="1" xfId="0" applyNumberFormat="1" applyFont="1" applyFill="1" applyBorder="1"/>
    <xf numFmtId="3" fontId="22" fillId="6" borderId="1" xfId="0" applyNumberFormat="1" applyFont="1" applyFill="1" applyBorder="1" applyAlignment="1">
      <alignment horizontal="center"/>
    </xf>
    <xf numFmtId="3" fontId="21" fillId="6" borderId="1" xfId="0" applyNumberFormat="1" applyFont="1" applyFill="1" applyBorder="1" applyAlignment="1">
      <alignment horizontal="center"/>
    </xf>
    <xf numFmtId="0" fontId="20" fillId="6" borderId="1" xfId="0" applyFont="1" applyFill="1" applyBorder="1"/>
    <xf numFmtId="0" fontId="0" fillId="7" borderId="1" xfId="0" applyFill="1" applyBorder="1"/>
    <xf numFmtId="0" fontId="0" fillId="0" borderId="1" xfId="0" applyFill="1" applyBorder="1"/>
    <xf numFmtId="1" fontId="0" fillId="0" borderId="0" xfId="0" applyNumberFormat="1" applyAlignment="1"/>
    <xf numFmtId="3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/>
    <xf numFmtId="3" fontId="5" fillId="3" borderId="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ill="1"/>
    <xf numFmtId="1" fontId="0" fillId="0" borderId="1" xfId="0" applyNumberFormat="1" applyBorder="1"/>
    <xf numFmtId="1" fontId="0" fillId="5" borderId="1" xfId="0" applyNumberFormat="1" applyFill="1" applyBorder="1"/>
    <xf numFmtId="0" fontId="0" fillId="8" borderId="0" xfId="0" applyFill="1"/>
    <xf numFmtId="4" fontId="4" fillId="8" borderId="1" xfId="0" applyNumberFormat="1" applyFont="1" applyFill="1" applyBorder="1"/>
    <xf numFmtId="3" fontId="4" fillId="8" borderId="1" xfId="0" applyNumberFormat="1" applyFont="1" applyFill="1" applyBorder="1" applyAlignment="1">
      <alignment horizontal="center"/>
    </xf>
    <xf numFmtId="0" fontId="0" fillId="8" borderId="1" xfId="0" applyFill="1" applyBorder="1"/>
    <xf numFmtId="1" fontId="0" fillId="8" borderId="1" xfId="0" applyNumberFormat="1" applyFill="1" applyBorder="1"/>
    <xf numFmtId="2" fontId="0" fillId="0" borderId="0" xfId="0" applyNumberFormat="1" applyFill="1"/>
    <xf numFmtId="0" fontId="20" fillId="5" borderId="0" xfId="0" applyFont="1" applyFill="1"/>
    <xf numFmtId="4" fontId="21" fillId="5" borderId="1" xfId="0" applyNumberFormat="1" applyFont="1" applyFill="1" applyBorder="1"/>
    <xf numFmtId="3" fontId="21" fillId="5" borderId="1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0" fontId="18" fillId="0" borderId="0" xfId="0" applyFont="1" applyFill="1" applyAlignment="1">
      <alignment wrapText="1"/>
    </xf>
    <xf numFmtId="2" fontId="18" fillId="0" borderId="0" xfId="0" applyNumberFormat="1" applyFont="1" applyFill="1" applyAlignment="1">
      <alignment wrapText="1"/>
    </xf>
    <xf numFmtId="0" fontId="20" fillId="0" borderId="0" xfId="0" applyFont="1" applyFill="1"/>
    <xf numFmtId="2" fontId="20" fillId="0" borderId="0" xfId="0" applyNumberFormat="1" applyFont="1" applyFill="1"/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9" borderId="0" xfId="0" applyFill="1"/>
    <xf numFmtId="2" fontId="0" fillId="9" borderId="0" xfId="0" applyNumberFormat="1" applyFill="1"/>
    <xf numFmtId="4" fontId="4" fillId="9" borderId="1" xfId="0" applyNumberFormat="1" applyFont="1" applyFill="1" applyBorder="1"/>
    <xf numFmtId="3" fontId="4" fillId="9" borderId="1" xfId="0" applyNumberFormat="1" applyFont="1" applyFill="1" applyBorder="1" applyAlignment="1">
      <alignment horizontal="center"/>
    </xf>
    <xf numFmtId="0" fontId="0" fillId="9" borderId="1" xfId="0" applyFill="1" applyBorder="1"/>
    <xf numFmtId="1" fontId="0" fillId="9" borderId="1" xfId="0" applyNumberFormat="1" applyFill="1" applyBorder="1"/>
    <xf numFmtId="0" fontId="23" fillId="9" borderId="0" xfId="0" applyFont="1" applyFill="1"/>
    <xf numFmtId="2" fontId="3" fillId="9" borderId="1" xfId="0" applyNumberFormat="1" applyFont="1" applyFill="1" applyBorder="1" applyAlignment="1">
      <alignment vertical="center" wrapText="1"/>
    </xf>
    <xf numFmtId="0" fontId="24" fillId="9" borderId="0" xfId="0" applyFont="1" applyFill="1"/>
    <xf numFmtId="0" fontId="1" fillId="0" borderId="0" xfId="0" applyFont="1" applyAlignment="1">
      <alignment vertical="center"/>
    </xf>
    <xf numFmtId="0" fontId="0" fillId="0" borderId="0" xfId="0" applyAlignment="1"/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2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opLeftCell="K13" zoomScale="98" zoomScaleNormal="98" workbookViewId="0">
      <selection activeCell="G58" sqref="G58"/>
    </sheetView>
  </sheetViews>
  <sheetFormatPr defaultRowHeight="15"/>
  <cols>
    <col min="1" max="1" width="30" style="92" customWidth="1"/>
    <col min="2" max="2" width="27.42578125" style="92" customWidth="1"/>
    <col min="3" max="3" width="18.7109375" style="100" customWidth="1"/>
    <col min="4" max="4" width="9.140625" style="92"/>
    <col min="5" max="5" width="14" style="92" customWidth="1"/>
    <col min="6" max="6" width="9.140625" style="92"/>
    <col min="7" max="7" width="11.5703125" style="92" bestFit="1" customWidth="1"/>
    <col min="8" max="8" width="9.140625" style="92"/>
    <col min="9" max="9" width="18.140625" customWidth="1"/>
    <col min="10" max="11" width="18.28515625" customWidth="1"/>
    <col min="12" max="12" width="11.85546875" customWidth="1"/>
    <col min="13" max="13" width="12.42578125" customWidth="1"/>
    <col min="14" max="15" width="9.85546875" customWidth="1"/>
    <col min="16" max="16" width="12.85546875" customWidth="1"/>
    <col min="17" max="17" width="10.85546875" customWidth="1"/>
    <col min="18" max="18" width="10.28515625" customWidth="1"/>
    <col min="19" max="19" width="8.42578125" customWidth="1"/>
    <col min="20" max="20" width="12.42578125" customWidth="1"/>
    <col min="24" max="24" width="14.5703125" customWidth="1"/>
  </cols>
  <sheetData>
    <row r="1" spans="1:25">
      <c r="A1" s="92" t="s">
        <v>81</v>
      </c>
      <c r="B1" s="92">
        <v>87615.34</v>
      </c>
      <c r="E1" s="92" t="s">
        <v>187</v>
      </c>
      <c r="G1" s="100" t="e">
        <f>'Ангарский 4'!B11+'Ангарский 6'!B11+'Жел 16'!B11+'Жел 18а'!B11+'Жел 18'!B11+'Крюкова 35а'!B11+'Крюкова 64'!B11+'Ленина 166'!B11+'Ленина 172'!B11+'Ленина 174'!B11+'Ленина 180'!B11+'Ленина 182'!B11+'Ленина 184а '!B11+'Ленина 184'!B11+'Ленина 242а'!B11+'Ленина 242'!B11+'Ленина 248'!B11+'Ленина 250'!B11+'Мира 971'!B11+'Ленина 248'!#REF!+'Песочная 33'!B11+'Сах 61'!B11+'Сах 88'!B11+'Сах 102'!B11+'Сах 100'!B11+'Сах 106а'!B11+'Сах 106'!#REF!+'Сах 106'!B11+'Сах 108а'!B11+'Сах 108'!B11+'Сах 147'!#REF!+'Сах 147'!B11+'Северная 44'!#REF!+'Северная 44'!B11+'Чехова 70б2'!B11+'Ю-Сах 6'!B11+'Ю-Сах 8'!B11+'Ю-Сах 10'!B11+'Ю-Сах 11'!#REF!+'Ю-Сах 11'!B11+'Ю-Сах 17'!B11+'Ю-Сах 17'!#REF!+'Ю-Сах 19'!B11+'Ю-Сах 19'!B52+'Ю-Сах 27'!B11</f>
        <v>#REF!</v>
      </c>
    </row>
    <row r="2" spans="1:25">
      <c r="A2" s="92" t="s">
        <v>82</v>
      </c>
      <c r="B2" s="92">
        <v>8638.5</v>
      </c>
    </row>
    <row r="3" spans="1:25" s="65" customFormat="1" ht="60" customHeight="1">
      <c r="A3" s="106" t="s">
        <v>172</v>
      </c>
      <c r="B3" s="106">
        <f>SUM(площади!O1:P38)</f>
        <v>43963.000000000007</v>
      </c>
      <c r="C3" s="107"/>
      <c r="D3" s="106"/>
      <c r="E3" s="106"/>
      <c r="F3" s="106"/>
      <c r="G3" s="106"/>
      <c r="H3" s="106"/>
      <c r="I3" s="67"/>
      <c r="J3" s="67"/>
      <c r="K3" s="67"/>
      <c r="L3" s="67" t="s">
        <v>29</v>
      </c>
      <c r="M3" s="67" t="s">
        <v>156</v>
      </c>
      <c r="N3" s="67" t="s">
        <v>109</v>
      </c>
      <c r="O3" s="67" t="s">
        <v>171</v>
      </c>
      <c r="P3" s="67" t="s">
        <v>34</v>
      </c>
      <c r="Q3" s="68" t="s">
        <v>157</v>
      </c>
      <c r="R3" s="67" t="s">
        <v>37</v>
      </c>
      <c r="S3" s="67" t="s">
        <v>39</v>
      </c>
      <c r="T3" s="67" t="s">
        <v>42</v>
      </c>
      <c r="U3" s="67" t="s">
        <v>44</v>
      </c>
      <c r="V3" s="67" t="s">
        <v>46</v>
      </c>
      <c r="W3" s="67" t="s">
        <v>48</v>
      </c>
      <c r="X3" s="67" t="s">
        <v>58</v>
      </c>
      <c r="Y3" s="67" t="s">
        <v>155</v>
      </c>
    </row>
    <row r="4" spans="1:25" s="66" customFormat="1">
      <c r="A4" s="92"/>
      <c r="B4" s="92"/>
      <c r="C4" s="100"/>
      <c r="D4" s="92"/>
      <c r="E4" s="92"/>
      <c r="F4" s="92"/>
      <c r="G4" s="92"/>
      <c r="H4" s="92">
        <v>1</v>
      </c>
      <c r="I4" s="72" t="s">
        <v>86</v>
      </c>
      <c r="J4" s="73">
        <v>6</v>
      </c>
      <c r="K4" s="73">
        <f t="shared" ref="K4:K41" si="0">SUM(L4:Y4)</f>
        <v>195448.10967352713</v>
      </c>
      <c r="L4" s="74"/>
      <c r="M4" s="74">
        <f>2604+1302+673*4</f>
        <v>6598</v>
      </c>
      <c r="N4" s="74">
        <f>361+667+361+667+722+667*2+24</f>
        <v>4136</v>
      </c>
      <c r="O4" s="94">
        <f>$C$43*(площади!O1+площади!P1)</f>
        <v>618.60967352711884</v>
      </c>
      <c r="P4" s="74">
        <f>730+673*5+730</f>
        <v>4825</v>
      </c>
      <c r="Q4" s="74">
        <f>3435+518+212+7050</f>
        <v>11215</v>
      </c>
      <c r="R4" s="74">
        <f>72+96+96+175*10*7+714+9102+2393*12+120</f>
        <v>51166</v>
      </c>
      <c r="S4" s="74">
        <f>258*18</f>
        <v>4644</v>
      </c>
      <c r="T4" s="74">
        <f>49*площади!I1/2</f>
        <v>33001.5</v>
      </c>
      <c r="U4" s="74">
        <f>(площади!I1-площади!J1)*25+площади!J1*50*0.75</f>
        <v>37425</v>
      </c>
      <c r="V4" s="74">
        <f>U4/3</f>
        <v>12475</v>
      </c>
      <c r="W4" s="74">
        <f>295*30</f>
        <v>8850</v>
      </c>
      <c r="X4" s="74">
        <f>172+49*5+219+108+49*4+490+270+135+49*5</f>
        <v>2080</v>
      </c>
      <c r="Y4" s="74">
        <f>341*27*2</f>
        <v>18414</v>
      </c>
    </row>
    <row r="5" spans="1:25" s="66" customFormat="1">
      <c r="A5" s="92"/>
      <c r="B5" s="92"/>
      <c r="C5" s="100"/>
      <c r="D5" s="92"/>
      <c r="E5" s="92"/>
      <c r="F5" s="92"/>
      <c r="G5" s="92"/>
      <c r="H5" s="92">
        <v>2</v>
      </c>
      <c r="I5" s="72" t="s">
        <v>86</v>
      </c>
      <c r="J5" s="73">
        <v>8</v>
      </c>
      <c r="K5" s="73">
        <f t="shared" si="0"/>
        <v>320305.3092045997</v>
      </c>
      <c r="L5" s="74"/>
      <c r="M5" s="74">
        <f>3397*4+667+574+361+1091+2824</f>
        <v>19105</v>
      </c>
      <c r="N5" s="74"/>
      <c r="O5" s="94">
        <f>$C$43*(площади!O2+площади!P2)</f>
        <v>1227.3092045997357</v>
      </c>
      <c r="P5" s="74"/>
      <c r="Q5" s="74">
        <f>3*82+582+10680+3044+3458+2702+4870+5790+1354+1147*19+824+175</f>
        <v>55518</v>
      </c>
      <c r="R5" s="74">
        <f>175*2+4817+1357+302+1554+4460+2956+22*2393</f>
        <v>68442</v>
      </c>
      <c r="S5" s="74">
        <f>258*40</f>
        <v>10320</v>
      </c>
      <c r="T5" s="74">
        <f>49*площади!I2</f>
        <v>50715</v>
      </c>
      <c r="U5" s="74">
        <f>(площади!I2-площади!J2)*25+площади!J2*50</f>
        <v>31875</v>
      </c>
      <c r="V5" s="74">
        <f t="shared" ref="V5:V41" si="1">U5</f>
        <v>31875</v>
      </c>
      <c r="W5" s="74">
        <f t="shared" ref="W5:W42" si="2">295*30</f>
        <v>8850</v>
      </c>
      <c r="X5" s="74">
        <f>81+108+108+109+49*11+172</f>
        <v>1117</v>
      </c>
      <c r="Y5" s="74">
        <f>302+39+341*60*2</f>
        <v>41261</v>
      </c>
    </row>
    <row r="6" spans="1:25" s="66" customFormat="1">
      <c r="A6" s="92"/>
      <c r="B6" s="92" t="s">
        <v>78</v>
      </c>
      <c r="C6" s="100">
        <f>(8250+9912)*12</f>
        <v>217944</v>
      </c>
      <c r="D6" s="92"/>
      <c r="E6" s="92"/>
      <c r="F6" s="92"/>
      <c r="G6" s="92"/>
      <c r="H6" s="92">
        <v>3</v>
      </c>
      <c r="I6" s="72" t="s">
        <v>86</v>
      </c>
      <c r="J6" s="73">
        <v>10</v>
      </c>
      <c r="K6" s="73">
        <f t="shared" si="0"/>
        <v>241526.93084101714</v>
      </c>
      <c r="L6" s="74"/>
      <c r="M6" s="74">
        <f>2202+1248+606+2202+1248+1536+357*3+10080+1237*2</f>
        <v>22667</v>
      </c>
      <c r="N6" s="74"/>
      <c r="O6" s="94">
        <f>$C$43*(площади!O3+площади!P3)</f>
        <v>1275.9308410171363</v>
      </c>
      <c r="P6" s="74"/>
      <c r="Q6" s="74">
        <f>259+5465+1147*20+7440+4506</f>
        <v>40610</v>
      </c>
      <c r="R6" s="74"/>
      <c r="S6" s="74">
        <f>258*6+258*40</f>
        <v>11868</v>
      </c>
      <c r="T6" s="74">
        <f>49*площади!I3</f>
        <v>50568</v>
      </c>
      <c r="U6" s="74">
        <f>(площади!I3-площади!J3)*25+площади!J3*50</f>
        <v>31800</v>
      </c>
      <c r="V6" s="74">
        <f t="shared" si="1"/>
        <v>31800</v>
      </c>
      <c r="W6" s="74">
        <f t="shared" si="2"/>
        <v>8850</v>
      </c>
      <c r="X6" s="74">
        <f>12*49+12*27+37+219</f>
        <v>1168</v>
      </c>
      <c r="Y6" s="74">
        <f>341*60*2</f>
        <v>40920</v>
      </c>
    </row>
    <row r="7" spans="1:25" s="95" customFormat="1">
      <c r="A7" s="92"/>
      <c r="B7" s="92" t="s">
        <v>77</v>
      </c>
      <c r="C7" s="100">
        <f>(174564.72+34100)*12</f>
        <v>2503976.64</v>
      </c>
      <c r="D7" s="92"/>
      <c r="E7" s="92"/>
      <c r="F7" s="92"/>
      <c r="G7" s="92"/>
      <c r="H7" s="92">
        <v>4</v>
      </c>
      <c r="I7" s="96" t="s">
        <v>86</v>
      </c>
      <c r="J7" s="97">
        <v>11</v>
      </c>
      <c r="K7" s="97">
        <f t="shared" si="0"/>
        <v>459708.50027372187</v>
      </c>
      <c r="L7" s="98"/>
      <c r="M7" s="98"/>
      <c r="N7" s="98">
        <f>1483+667+598+667+1248+1248</f>
        <v>5911</v>
      </c>
      <c r="O7" s="99">
        <f>$C$43*(площади!O4+площади!P4)</f>
        <v>899.50027372191073</v>
      </c>
      <c r="P7" s="98">
        <f>673*10</f>
        <v>6730</v>
      </c>
      <c r="Q7" s="98">
        <f>258*7+1615+271+1147*4+271+12*1147+4739+1147*14+5437+1145+1147*5+271+2400+137*3+3250*3+2777*3+8972+10997+15519</f>
        <v>112080</v>
      </c>
      <c r="R7" s="98">
        <f>916+2393*4+175*12+175*10*15+9164+2393*17+25549+6962+2393*12</f>
        <v>149910</v>
      </c>
      <c r="S7" s="98">
        <f>258*40</f>
        <v>10320</v>
      </c>
      <c r="T7" s="98">
        <f>49*площади!I4</f>
        <v>54488</v>
      </c>
      <c r="U7" s="98">
        <f>(площади!I4-площади!J4)*25+площади!J4*50</f>
        <v>34800</v>
      </c>
      <c r="V7" s="98">
        <f t="shared" si="1"/>
        <v>34800</v>
      </c>
      <c r="W7" s="98">
        <f t="shared" si="2"/>
        <v>8850</v>
      </c>
      <c r="X7" s="98"/>
      <c r="Y7" s="98">
        <f>341*60*2</f>
        <v>40920</v>
      </c>
    </row>
    <row r="8" spans="1:25" s="95" customFormat="1">
      <c r="A8" s="92"/>
      <c r="B8" s="92" t="s">
        <v>85</v>
      </c>
      <c r="C8" s="100">
        <f>87700+277350</f>
        <v>365050</v>
      </c>
      <c r="D8" s="92"/>
      <c r="E8" s="92"/>
      <c r="F8" s="92"/>
      <c r="G8" s="92"/>
      <c r="H8" s="92">
        <v>5</v>
      </c>
      <c r="I8" s="96" t="s">
        <v>86</v>
      </c>
      <c r="J8" s="97">
        <v>17</v>
      </c>
      <c r="K8" s="97">
        <f t="shared" si="0"/>
        <v>446764.32558105676</v>
      </c>
      <c r="L8" s="98"/>
      <c r="M8" s="98">
        <f>311+667+220*5</f>
        <v>2078</v>
      </c>
      <c r="N8" s="98"/>
      <c r="O8" s="99">
        <f>$C$43*(площади!O5+площади!P5)</f>
        <v>1301.3255810567978</v>
      </c>
      <c r="P8" s="98"/>
      <c r="Q8" s="98">
        <f>271*4+916+1147*4+3250*2+2777*2+21514+7877+26428</f>
        <v>74461</v>
      </c>
      <c r="R8" s="98">
        <f>175*2+572.5+2393*2.5+175*15*10+7962+2393*15+9721+2393*20+10572+2393*20</f>
        <v>193025</v>
      </c>
      <c r="S8" s="98">
        <f>258*39</f>
        <v>10062</v>
      </c>
      <c r="T8" s="98">
        <f>49*площади!I5</f>
        <v>50813</v>
      </c>
      <c r="U8" s="98">
        <f>(площади!I5-площади!J5)*25+площади!J5*50</f>
        <v>31925</v>
      </c>
      <c r="V8" s="98">
        <f t="shared" si="1"/>
        <v>31925</v>
      </c>
      <c r="W8" s="98">
        <f t="shared" si="2"/>
        <v>8850</v>
      </c>
      <c r="X8" s="98">
        <f>49*5+135+58+88+27+49+219+742+118+49*3+219+39</f>
        <v>2086</v>
      </c>
      <c r="Y8" s="98">
        <f>341*2+341*58*2</f>
        <v>40238</v>
      </c>
    </row>
    <row r="9" spans="1:25" s="66" customFormat="1">
      <c r="A9" s="92"/>
      <c r="B9" s="92" t="s">
        <v>83</v>
      </c>
      <c r="C9" s="100">
        <v>404450</v>
      </c>
      <c r="D9" s="92"/>
      <c r="E9" s="92"/>
      <c r="F9" s="92"/>
      <c r="G9" s="92"/>
      <c r="H9" s="92">
        <v>6</v>
      </c>
      <c r="I9" s="72" t="s">
        <v>86</v>
      </c>
      <c r="J9" s="73">
        <v>27</v>
      </c>
      <c r="K9" s="73">
        <f t="shared" si="0"/>
        <v>394946.07841205312</v>
      </c>
      <c r="L9" s="74"/>
      <c r="M9" s="74"/>
      <c r="N9" s="74">
        <f>512+3174+6534</f>
        <v>10220</v>
      </c>
      <c r="O9" s="94">
        <f>$C$43*(площади!O6+площади!P6)</f>
        <v>846.0784120531107</v>
      </c>
      <c r="P9" s="74">
        <f>673*3+730+730</f>
        <v>3479</v>
      </c>
      <c r="Q9" s="74">
        <f>928+1147*5+33667+1147*50+2353*16+2333+1147*5+825+1562+3061+1012+1147*4+2823+1147*6+2971+1147*6+298+1427+1147*3+506</f>
        <v>179674</v>
      </c>
      <c r="R9" s="74">
        <f>1951+2353*3</f>
        <v>9010</v>
      </c>
      <c r="S9" s="74">
        <f>258*2+271+258*40</f>
        <v>11107</v>
      </c>
      <c r="T9" s="74">
        <f>49*площади!I6</f>
        <v>51009</v>
      </c>
      <c r="U9" s="74">
        <f>(площади!I6-площади!J6)*25+площади!J6*50</f>
        <v>32025</v>
      </c>
      <c r="V9" s="74">
        <f t="shared" si="1"/>
        <v>32025</v>
      </c>
      <c r="W9" s="74">
        <f t="shared" si="2"/>
        <v>8850</v>
      </c>
      <c r="X9" s="74">
        <f>220*64+35*2+49*8+27*8</f>
        <v>14758</v>
      </c>
      <c r="Y9" s="74">
        <f>341*3+341*60*2</f>
        <v>41943</v>
      </c>
    </row>
    <row r="10" spans="1:25" s="66" customFormat="1">
      <c r="A10" s="92"/>
      <c r="B10" s="92" t="s">
        <v>84</v>
      </c>
      <c r="C10" s="100">
        <v>370700</v>
      </c>
      <c r="D10" s="92"/>
      <c r="E10" s="92"/>
      <c r="F10" s="92"/>
      <c r="G10" s="92"/>
      <c r="H10" s="92">
        <v>7</v>
      </c>
      <c r="I10" s="72" t="s">
        <v>88</v>
      </c>
      <c r="J10" s="73">
        <v>61</v>
      </c>
      <c r="K10" s="73">
        <f t="shared" si="0"/>
        <v>262817.46076326579</v>
      </c>
      <c r="L10" s="74">
        <f>45*2*3*72</f>
        <v>19440</v>
      </c>
      <c r="M10" s="74">
        <f>20160</f>
        <v>20160</v>
      </c>
      <c r="N10" s="74">
        <f>980+357+512+357</f>
        <v>2206</v>
      </c>
      <c r="O10" s="94">
        <f>$C$43*(площади!O7+площади!P7)</f>
        <v>607.46076326580408</v>
      </c>
      <c r="P10" s="74"/>
      <c r="Q10" s="74">
        <f>240+1160+2748+1147*12+1145+1147*5+1145+1147*5+916+1147*4+1374+1147*6+2138+1147*4+2166+1147*6+232+1095*2</f>
        <v>63628</v>
      </c>
      <c r="R10" s="74">
        <f>175*10+3250+2393*6</f>
        <v>19358</v>
      </c>
      <c r="S10" s="74">
        <f>258*32</f>
        <v>8256</v>
      </c>
      <c r="T10" s="74">
        <f>49*площади!I7</f>
        <v>38416</v>
      </c>
      <c r="U10" s="74">
        <f>(площади!I7-площади!J7)*25+площади!J7*50</f>
        <v>24100</v>
      </c>
      <c r="V10" s="74">
        <f t="shared" si="1"/>
        <v>24100</v>
      </c>
      <c r="W10" s="74">
        <f t="shared" si="2"/>
        <v>8850</v>
      </c>
      <c r="X10" s="74">
        <f>54+49*2+183+49*5+135+49*5</f>
        <v>960</v>
      </c>
      <c r="Y10" s="74">
        <f>341*48*2</f>
        <v>32736</v>
      </c>
    </row>
    <row r="11" spans="1:25" s="66" customFormat="1">
      <c r="A11" s="92"/>
      <c r="B11" s="92" t="s">
        <v>112</v>
      </c>
      <c r="C11" s="100">
        <v>17869.5</v>
      </c>
      <c r="D11" s="92"/>
      <c r="E11" s="92"/>
      <c r="F11" s="92"/>
      <c r="G11" s="92"/>
      <c r="H11" s="92">
        <v>8</v>
      </c>
      <c r="I11" s="72" t="s">
        <v>88</v>
      </c>
      <c r="J11" s="73">
        <v>88</v>
      </c>
      <c r="K11" s="73">
        <f t="shared" si="0"/>
        <v>243352.15588077164</v>
      </c>
      <c r="L11" s="74"/>
      <c r="M11" s="74">
        <f>2571+959*10</f>
        <v>12161</v>
      </c>
      <c r="N11" s="74">
        <f>1058+975+975+5402+1106+597+461+1618+1237*20+1237*10+667+667+1248</f>
        <v>51884</v>
      </c>
      <c r="O11" s="94">
        <f>$C$43*(площади!O8+площади!P8)</f>
        <v>572.15588077164057</v>
      </c>
      <c r="P11" s="74"/>
      <c r="Q11" s="74">
        <f>87+916+1252+458+438+5405+4634+211+8*1147+4*271</f>
        <v>23661</v>
      </c>
      <c r="R11" s="74">
        <f>836+458+48+458+48+7*2393</f>
        <v>18599</v>
      </c>
      <c r="S11" s="74">
        <f>258*27</f>
        <v>6966</v>
      </c>
      <c r="T11" s="74">
        <f>49*площади!I8</f>
        <v>38269</v>
      </c>
      <c r="U11" s="74">
        <f>(площади!I8-площади!J8)*25+площади!J8*50</f>
        <v>24025</v>
      </c>
      <c r="V11" s="74">
        <f t="shared" si="1"/>
        <v>24025</v>
      </c>
      <c r="W11" s="74">
        <f t="shared" si="2"/>
        <v>8850</v>
      </c>
      <c r="X11" s="74">
        <f>542+157+163+27+290+794+6*219+49*43+406*1+315*4</f>
        <v>7060</v>
      </c>
      <c r="Y11" s="74">
        <f>341*40*2</f>
        <v>27280</v>
      </c>
    </row>
    <row r="12" spans="1:25" s="66" customFormat="1">
      <c r="A12" s="92"/>
      <c r="B12" s="92"/>
      <c r="C12" s="100"/>
      <c r="D12" s="92"/>
      <c r="E12" s="92"/>
      <c r="F12" s="92"/>
      <c r="G12" s="92"/>
      <c r="H12" s="92">
        <v>9</v>
      </c>
      <c r="I12" s="72" t="s">
        <v>88</v>
      </c>
      <c r="J12" s="73">
        <v>100</v>
      </c>
      <c r="K12" s="73">
        <f t="shared" si="0"/>
        <v>222834.77027229511</v>
      </c>
      <c r="L12" s="74">
        <f>45*2*144*4</f>
        <v>51840</v>
      </c>
      <c r="M12" s="74">
        <f>740+740+220*5+402+370+1110+7000+1200+12000</f>
        <v>24662</v>
      </c>
      <c r="N12" s="74">
        <f>2300+370+536</f>
        <v>3206</v>
      </c>
      <c r="O12" s="94">
        <f>$C$43*(площади!O9+площади!P9)</f>
        <v>1703.770272295091</v>
      </c>
      <c r="P12" s="74"/>
      <c r="Q12" s="74">
        <f>1832+2794+470+3882+2226</f>
        <v>11204</v>
      </c>
      <c r="R12" s="74">
        <f>462+2393</f>
        <v>2855</v>
      </c>
      <c r="S12" s="74">
        <f>258*41</f>
        <v>10578</v>
      </c>
      <c r="T12" s="74">
        <f>49*площади!I9*0.5</f>
        <v>25431</v>
      </c>
      <c r="U12" s="74">
        <f>(площади!I9-площади!J9)*25+площади!J9*50</f>
        <v>31950</v>
      </c>
      <c r="V12" s="74">
        <f>U12*0.7</f>
        <v>22365</v>
      </c>
      <c r="W12" s="74">
        <f t="shared" si="2"/>
        <v>8850</v>
      </c>
      <c r="X12" s="74">
        <f>81+49*3</f>
        <v>228</v>
      </c>
      <c r="Y12" s="74">
        <f>341*41*2</f>
        <v>27962</v>
      </c>
    </row>
    <row r="13" spans="1:25" s="66" customFormat="1">
      <c r="A13" s="92" t="s">
        <v>68</v>
      </c>
      <c r="B13" s="92" t="s">
        <v>61</v>
      </c>
      <c r="C13" s="100">
        <f>42700*4+42680+43880+43900+43920*2+42900+43620+43690</f>
        <v>519310</v>
      </c>
      <c r="D13" s="92"/>
      <c r="E13" s="100">
        <f>SUM(C13:C26)-C25</f>
        <v>7515286.5723999999</v>
      </c>
      <c r="F13" s="92"/>
      <c r="G13" s="92"/>
      <c r="H13" s="92">
        <v>10</v>
      </c>
      <c r="I13" s="72" t="s">
        <v>88</v>
      </c>
      <c r="J13" s="73">
        <v>102</v>
      </c>
      <c r="K13" s="73">
        <f t="shared" si="0"/>
        <v>495795.57908166578</v>
      </c>
      <c r="L13" s="74"/>
      <c r="M13" s="74">
        <f>12000+959*10+15030+959*10+2920+1248</f>
        <v>50378</v>
      </c>
      <c r="N13" s="74">
        <f>1024+519*2+200120+29211+523+975</f>
        <v>232891</v>
      </c>
      <c r="O13" s="94">
        <f>$C$43*(площади!O10+площади!P10)</f>
        <v>1066.5790816657809</v>
      </c>
      <c r="P13" s="74"/>
      <c r="Q13" s="74">
        <f>1566+1147*2+271</f>
        <v>4131</v>
      </c>
      <c r="R13" s="74">
        <f>175*15+18330+4*2353</f>
        <v>30367</v>
      </c>
      <c r="S13" s="74">
        <f>258*40</f>
        <v>10320</v>
      </c>
      <c r="T13" s="74">
        <f>49*площади!I10</f>
        <v>50666</v>
      </c>
      <c r="U13" s="74">
        <f>(площади!I10-площади!J10)*25+площади!J10*50</f>
        <v>31850</v>
      </c>
      <c r="V13" s="74">
        <f t="shared" si="1"/>
        <v>31850</v>
      </c>
      <c r="W13" s="74">
        <f t="shared" si="2"/>
        <v>8850</v>
      </c>
      <c r="X13" s="74">
        <f>135+49*5+81+49*3+108+49*4+108+49*4+81+49*3+81+49*3+27+49+27+49</f>
        <v>1824</v>
      </c>
      <c r="Y13" s="74">
        <f>341*61*2</f>
        <v>41602</v>
      </c>
    </row>
    <row r="14" spans="1:25" s="66" customFormat="1">
      <c r="A14" s="92"/>
      <c r="B14" s="92" t="s">
        <v>63</v>
      </c>
      <c r="C14" s="100">
        <f>12*15000</f>
        <v>180000</v>
      </c>
      <c r="D14" s="92"/>
      <c r="E14" s="92"/>
      <c r="F14" s="92"/>
      <c r="G14" s="92"/>
      <c r="H14" s="92">
        <v>11</v>
      </c>
      <c r="I14" s="72" t="s">
        <v>88</v>
      </c>
      <c r="J14" s="73">
        <v>106</v>
      </c>
      <c r="K14" s="73">
        <f t="shared" si="0"/>
        <v>381429.93370239023</v>
      </c>
      <c r="L14" s="74"/>
      <c r="M14" s="74">
        <f>13020+4545</f>
        <v>17565</v>
      </c>
      <c r="N14" s="74">
        <f>1466+512+1853+730+2545+667+2300+96+2300</f>
        <v>12469</v>
      </c>
      <c r="O14" s="94">
        <f>$C$43*(площади!O11+площади!P11)</f>
        <v>1061.9337023902331</v>
      </c>
      <c r="P14" s="74">
        <f>6510+673*10</f>
        <v>13240</v>
      </c>
      <c r="Q14" s="74">
        <f>1784+654+2087+1147*7+1740+1147*15+1145+1147*5+1832+1147*8+990+1147*5+1728+1147*8+5725+1147*25+12810+1147*10+2135+1147*5+4270+1147*10</f>
        <v>149306</v>
      </c>
      <c r="R14" s="74">
        <f>175*5+175*15+1386+2393*3</f>
        <v>12065</v>
      </c>
      <c r="S14" s="74">
        <f>258*40</f>
        <v>10320</v>
      </c>
      <c r="T14" s="74">
        <f>49*площади!I11</f>
        <v>51009</v>
      </c>
      <c r="U14" s="74">
        <f>(площади!I11-площади!J11)*25+площади!J11*50</f>
        <v>32025</v>
      </c>
      <c r="V14" s="74">
        <f t="shared" si="1"/>
        <v>32025</v>
      </c>
      <c r="W14" s="74">
        <f t="shared" si="2"/>
        <v>8850</v>
      </c>
      <c r="X14" s="74">
        <f>54+49*2+145+49*4+81</f>
        <v>574</v>
      </c>
      <c r="Y14" s="74">
        <f>341*60*2</f>
        <v>40920</v>
      </c>
    </row>
    <row r="15" spans="1:25" s="66" customFormat="1">
      <c r="A15" s="92"/>
      <c r="B15" s="92" t="s">
        <v>64</v>
      </c>
      <c r="C15" s="100">
        <f>8337.75*12</f>
        <v>100053</v>
      </c>
      <c r="D15" s="92"/>
      <c r="E15" s="92"/>
      <c r="F15" s="92"/>
      <c r="G15" s="92"/>
      <c r="H15" s="92">
        <v>12</v>
      </c>
      <c r="I15" s="72" t="s">
        <v>88</v>
      </c>
      <c r="J15" s="73" t="s">
        <v>89</v>
      </c>
      <c r="K15" s="73">
        <f t="shared" si="0"/>
        <v>137573.16242534528</v>
      </c>
      <c r="L15" s="74">
        <f>45*2*24*3</f>
        <v>6480</v>
      </c>
      <c r="M15" s="74"/>
      <c r="N15" s="74"/>
      <c r="O15" s="94">
        <f>$C$43*(площади!O12+площади!P12)</f>
        <v>299.16242534527998</v>
      </c>
      <c r="P15" s="74"/>
      <c r="Q15" s="74">
        <f>1757+1147*3</f>
        <v>5198</v>
      </c>
      <c r="R15" s="74">
        <f>175*10+568*5*4</f>
        <v>13110</v>
      </c>
      <c r="S15" s="74">
        <f>258*7*2</f>
        <v>3612</v>
      </c>
      <c r="T15" s="74">
        <f>49*площади!I12*2</f>
        <v>49294</v>
      </c>
      <c r="U15" s="74">
        <f>(площади!I12-площади!J12)*25+площади!J12*50*3</f>
        <v>27575</v>
      </c>
      <c r="V15" s="74">
        <v>15575</v>
      </c>
      <c r="W15" s="74">
        <f t="shared" si="2"/>
        <v>8850</v>
      </c>
      <c r="X15" s="74">
        <f>27*10+49*10</f>
        <v>760</v>
      </c>
      <c r="Y15" s="74">
        <f>341*10*2</f>
        <v>6820</v>
      </c>
    </row>
    <row r="16" spans="1:25" s="66" customFormat="1">
      <c r="A16" s="92"/>
      <c r="B16" s="92" t="s">
        <v>65</v>
      </c>
      <c r="C16" s="100">
        <f>10000*12+13000+29664</f>
        <v>162664</v>
      </c>
      <c r="D16" s="92"/>
      <c r="E16" s="92"/>
      <c r="F16" s="92"/>
      <c r="G16" s="92"/>
      <c r="H16" s="92">
        <v>13</v>
      </c>
      <c r="I16" s="72" t="s">
        <v>88</v>
      </c>
      <c r="J16" s="73">
        <v>108</v>
      </c>
      <c r="K16" s="73">
        <f t="shared" si="0"/>
        <v>224562.45023106207</v>
      </c>
      <c r="L16" s="74"/>
      <c r="M16" s="74">
        <f>3430+1515+3430+1515</f>
        <v>9890</v>
      </c>
      <c r="N16" s="74">
        <f>1024+357*5+1024+1853+7284</f>
        <v>12970</v>
      </c>
      <c r="O16" s="94">
        <f>$C$43*(площади!O13+площади!P13)</f>
        <v>1070.4502310620708</v>
      </c>
      <c r="P16" s="74">
        <f>730+673*5</f>
        <v>4095</v>
      </c>
      <c r="Q16" s="74">
        <f>3456+1147*12</f>
        <v>17220</v>
      </c>
      <c r="R16" s="74">
        <f>175*15</f>
        <v>2625</v>
      </c>
      <c r="S16" s="74">
        <f>258*40</f>
        <v>10320</v>
      </c>
      <c r="T16" s="74">
        <f>49*площади!I13</f>
        <v>51058</v>
      </c>
      <c r="U16" s="74">
        <f>(площади!I13-площади!J13)*25+площади!J13*50</f>
        <v>32050</v>
      </c>
      <c r="V16" s="74">
        <f t="shared" si="1"/>
        <v>32050</v>
      </c>
      <c r="W16" s="74">
        <f t="shared" si="2"/>
        <v>8850</v>
      </c>
      <c r="X16" s="74">
        <f>135+49*5+81+49*3+49*4+108+108+49*4+81+49*3</f>
        <v>1444</v>
      </c>
      <c r="Y16" s="74">
        <f>341*60*2</f>
        <v>40920</v>
      </c>
    </row>
    <row r="17" spans="1:25" s="66" customFormat="1">
      <c r="A17" s="92"/>
      <c r="B17" s="92" t="s">
        <v>70</v>
      </c>
      <c r="C17" s="100">
        <f>6762.18*12</f>
        <v>81146.16</v>
      </c>
      <c r="D17" s="92"/>
      <c r="E17" s="92"/>
      <c r="F17" s="92"/>
      <c r="G17" s="92"/>
      <c r="H17" s="92">
        <v>14</v>
      </c>
      <c r="I17" s="72" t="s">
        <v>88</v>
      </c>
      <c r="J17" s="73" t="s">
        <v>90</v>
      </c>
      <c r="K17" s="73">
        <f t="shared" si="0"/>
        <v>303853.10882099206</v>
      </c>
      <c r="L17" s="74">
        <f>45*2*144</f>
        <v>12960</v>
      </c>
      <c r="M17" s="74">
        <f>2700+673*20+1460+1237*6</f>
        <v>25042</v>
      </c>
      <c r="N17" s="74">
        <f>2300</f>
        <v>2300</v>
      </c>
      <c r="O17" s="94">
        <f>$C$43*(площади!O14+площади!P14)</f>
        <v>1494.1088209920324</v>
      </c>
      <c r="P17" s="74"/>
      <c r="Q17" s="74">
        <f>3568+1147*6+1059+1147*3+1168+1147*2+271*3</f>
        <v>19225</v>
      </c>
      <c r="R17" s="74">
        <f>1006+2353*2+568*10+10843+2353*16+1147*2</f>
        <v>62177</v>
      </c>
      <c r="S17" s="74">
        <f>258*2+258*42</f>
        <v>11352</v>
      </c>
      <c r="T17" s="74">
        <f>49*площади!I14</f>
        <v>51107</v>
      </c>
      <c r="U17" s="74">
        <f>(площади!I14-площади!J14)*25+площади!J14*50</f>
        <v>32075</v>
      </c>
      <c r="V17" s="74">
        <f t="shared" si="1"/>
        <v>32075</v>
      </c>
      <c r="W17" s="74">
        <f t="shared" si="2"/>
        <v>8850</v>
      </c>
      <c r="X17" s="74">
        <f>172+49*5+219+81+49*3+243+49*9</f>
        <v>1548</v>
      </c>
      <c r="Y17" s="74">
        <f>341*2+341*63*2</f>
        <v>43648</v>
      </c>
    </row>
    <row r="18" spans="1:25" s="66" customFormat="1">
      <c r="A18" s="92"/>
      <c r="B18" s="92" t="s">
        <v>66</v>
      </c>
      <c r="C18" s="100">
        <f>40856.56+25433.2</f>
        <v>66289.759999999995</v>
      </c>
      <c r="D18" s="92"/>
      <c r="E18" s="92"/>
      <c r="F18" s="92"/>
      <c r="G18" s="92"/>
      <c r="H18" s="92">
        <v>15</v>
      </c>
      <c r="I18" s="72" t="s">
        <v>88</v>
      </c>
      <c r="J18" s="73">
        <v>147</v>
      </c>
      <c r="K18" s="73">
        <f t="shared" si="0"/>
        <v>496571.59597552073</v>
      </c>
      <c r="L18" s="74"/>
      <c r="M18" s="74">
        <f>485+667+287+667</f>
        <v>2106</v>
      </c>
      <c r="N18" s="74">
        <f>200120+2556+1700</f>
        <v>204376</v>
      </c>
      <c r="O18" s="94">
        <f>$C$43*(площади!O15+площади!P15)</f>
        <v>1426.5959755207373</v>
      </c>
      <c r="P18" s="74"/>
      <c r="Q18" s="74">
        <f>8966+1147*20+4760+3008+1147*4+4728+1147*8+6*258+11*271</f>
        <v>62695</v>
      </c>
      <c r="R18" s="74">
        <f>924+2393*2+4765+506*3+72+175*15*10+96+175*5*10</f>
        <v>47161</v>
      </c>
      <c r="S18" s="74">
        <f>258*41</f>
        <v>10578</v>
      </c>
      <c r="T18" s="74">
        <f>49*площади!I15</f>
        <v>50813</v>
      </c>
      <c r="U18" s="74">
        <f>(площади!I15-площади!J15)*25+площади!J15*50</f>
        <v>31925</v>
      </c>
      <c r="V18" s="74">
        <f t="shared" si="1"/>
        <v>31925</v>
      </c>
      <c r="W18" s="74">
        <f t="shared" si="2"/>
        <v>8850</v>
      </c>
      <c r="X18" s="74">
        <f>216+49*8+135+49*5+135+49*5+162+49*6+216+49*8</f>
        <v>2432</v>
      </c>
      <c r="Y18" s="74">
        <f>341*62*2</f>
        <v>42284</v>
      </c>
    </row>
    <row r="19" spans="1:25" s="66" customFormat="1">
      <c r="A19" s="92"/>
      <c r="B19" s="92" t="s">
        <v>67</v>
      </c>
      <c r="C19" s="100">
        <v>125040</v>
      </c>
      <c r="D19" s="92"/>
      <c r="E19" s="92"/>
      <c r="F19" s="92"/>
      <c r="G19" s="92"/>
      <c r="H19" s="92">
        <v>16</v>
      </c>
      <c r="I19" s="72" t="s">
        <v>91</v>
      </c>
      <c r="J19" s="73">
        <v>166</v>
      </c>
      <c r="K19" s="73">
        <f t="shared" si="0"/>
        <v>168423.0829170811</v>
      </c>
      <c r="L19" s="74"/>
      <c r="M19" s="74"/>
      <c r="N19" s="74">
        <f>7300</f>
        <v>7300</v>
      </c>
      <c r="O19" s="94">
        <f>$C$43*(площади!O16+площади!P16)</f>
        <v>942.08291708109914</v>
      </c>
      <c r="P19" s="74"/>
      <c r="Q19" s="74"/>
      <c r="R19" s="74">
        <f>4620+2393*10+2772+2393*6+3698+2393*8+1730+2393*2</f>
        <v>75038</v>
      </c>
      <c r="S19" s="74">
        <f>16*258</f>
        <v>4128</v>
      </c>
      <c r="T19" s="74">
        <f>49*площади!I16</f>
        <v>24647</v>
      </c>
      <c r="U19" s="74">
        <f>(площади!I16-площади!J16)*25+площади!J16*50</f>
        <v>15575</v>
      </c>
      <c r="V19" s="74">
        <f t="shared" si="1"/>
        <v>15575</v>
      </c>
      <c r="W19" s="74">
        <f t="shared" si="2"/>
        <v>8850</v>
      </c>
      <c r="X19" s="74"/>
      <c r="Y19" s="74">
        <f>341*24*2</f>
        <v>16368</v>
      </c>
    </row>
    <row r="20" spans="1:25" s="66" customFormat="1">
      <c r="A20" s="92"/>
      <c r="B20" s="92" t="s">
        <v>75</v>
      </c>
      <c r="C20" s="100">
        <f>34378.32*12</f>
        <v>412539.83999999997</v>
      </c>
      <c r="D20" s="92"/>
      <c r="E20" s="92"/>
      <c r="F20" s="92"/>
      <c r="G20" s="92"/>
      <c r="H20" s="92">
        <v>17</v>
      </c>
      <c r="I20" s="72" t="s">
        <v>91</v>
      </c>
      <c r="J20" s="73">
        <v>172</v>
      </c>
      <c r="K20" s="73">
        <f t="shared" si="0"/>
        <v>151465.16207518513</v>
      </c>
      <c r="L20" s="74"/>
      <c r="M20" s="74">
        <f>2448+2*959</f>
        <v>4366</v>
      </c>
      <c r="N20" s="74">
        <f>27459</f>
        <v>27459</v>
      </c>
      <c r="O20" s="94">
        <f>$C$43*(площади!O17+площади!P17)</f>
        <v>704.16207518512465</v>
      </c>
      <c r="P20" s="74"/>
      <c r="Q20" s="74">
        <f>8404</f>
        <v>8404</v>
      </c>
      <c r="R20" s="74">
        <f>175*10</f>
        <v>1750</v>
      </c>
      <c r="S20" s="74">
        <f>258*11</f>
        <v>2838</v>
      </c>
      <c r="T20" s="74">
        <f>49*площади!I17</f>
        <v>38122</v>
      </c>
      <c r="U20" s="74">
        <f>(площади!I17-площади!J17)*25+площади!J17*50</f>
        <v>23950</v>
      </c>
      <c r="V20" s="74">
        <f t="shared" si="1"/>
        <v>23950</v>
      </c>
      <c r="W20" s="74">
        <f t="shared" si="2"/>
        <v>8850</v>
      </c>
      <c r="X20" s="74">
        <f>160</f>
        <v>160</v>
      </c>
      <c r="Y20" s="74">
        <f>341*16*2</f>
        <v>10912</v>
      </c>
    </row>
    <row r="21" spans="1:25" s="66" customFormat="1">
      <c r="A21" s="92"/>
      <c r="B21" s="92" t="s">
        <v>69</v>
      </c>
      <c r="C21" s="100">
        <v>433807</v>
      </c>
      <c r="D21" s="92"/>
      <c r="E21" s="92"/>
      <c r="F21" s="92"/>
      <c r="G21" s="92"/>
      <c r="H21" s="92">
        <v>18</v>
      </c>
      <c r="I21" s="72" t="s">
        <v>91</v>
      </c>
      <c r="J21" s="73">
        <v>174</v>
      </c>
      <c r="K21" s="73">
        <f t="shared" si="0"/>
        <v>266053.46916446264</v>
      </c>
      <c r="L21" s="74"/>
      <c r="M21" s="74">
        <f>28000+959*20</f>
        <v>47180</v>
      </c>
      <c r="N21" s="74">
        <f>3030+2494</f>
        <v>5524</v>
      </c>
      <c r="O21" s="94">
        <f>$C$43*(площади!O18+площади!P18)</f>
        <v>1061.4691644626782</v>
      </c>
      <c r="P21" s="74"/>
      <c r="Q21" s="74">
        <f>2407+1147*2+864+1147*3+271</f>
        <v>9277</v>
      </c>
      <c r="R21" s="74">
        <f>2310+2393*5+2310+2393*5+175*10</f>
        <v>30300</v>
      </c>
      <c r="S21" s="74">
        <f>37*258</f>
        <v>9546</v>
      </c>
      <c r="T21" s="74">
        <f>49*площади!I18</f>
        <v>51254</v>
      </c>
      <c r="U21" s="74">
        <f>(площади!I18-площади!J18)*25+площади!J18*50</f>
        <v>32150</v>
      </c>
      <c r="V21" s="74">
        <f t="shared" si="1"/>
        <v>32150</v>
      </c>
      <c r="W21" s="74">
        <f t="shared" si="2"/>
        <v>8850</v>
      </c>
      <c r="X21" s="74">
        <f>48+155+49*3+219</f>
        <v>569</v>
      </c>
      <c r="Y21" s="74">
        <f>341*56*2</f>
        <v>38192</v>
      </c>
    </row>
    <row r="22" spans="1:25" s="66" customFormat="1">
      <c r="A22" s="92"/>
      <c r="B22" s="92" t="s">
        <v>76</v>
      </c>
      <c r="C22" s="100"/>
      <c r="D22" s="92"/>
      <c r="E22" s="92"/>
      <c r="F22" s="92"/>
      <c r="G22" s="92"/>
      <c r="H22" s="92">
        <v>19</v>
      </c>
      <c r="I22" s="72" t="s">
        <v>91</v>
      </c>
      <c r="J22" s="73">
        <v>180</v>
      </c>
      <c r="K22" s="73">
        <f t="shared" si="0"/>
        <v>445093.99643830658</v>
      </c>
      <c r="L22" s="74">
        <v>12960</v>
      </c>
      <c r="M22" s="74">
        <f>6144+357*12+2368+357*4+1422+357+520</f>
        <v>16523</v>
      </c>
      <c r="N22" s="74">
        <f>200120+28397+7854</f>
        <v>236371</v>
      </c>
      <c r="O22" s="94">
        <f>$C$43*(площади!O19+площади!P19)</f>
        <v>1023.9964383065924</v>
      </c>
      <c r="P22" s="74">
        <f>3650+673*20</f>
        <v>17110</v>
      </c>
      <c r="Q22" s="74">
        <f>466+1147</f>
        <v>1613</v>
      </c>
      <c r="R22" s="74">
        <f>12434+2393*4</f>
        <v>22006</v>
      </c>
      <c r="S22" s="74">
        <f>32*258</f>
        <v>8256</v>
      </c>
      <c r="T22" s="74">
        <f>49*площади!I19</f>
        <v>38171</v>
      </c>
      <c r="U22" s="74">
        <f>(площади!I19-площади!J19)*25+площади!J19*50</f>
        <v>23975</v>
      </c>
      <c r="V22" s="74">
        <f t="shared" si="1"/>
        <v>23975</v>
      </c>
      <c r="W22" s="74">
        <f t="shared" si="2"/>
        <v>8850</v>
      </c>
      <c r="X22" s="74">
        <f>200+49*3+297+49*11</f>
        <v>1183</v>
      </c>
      <c r="Y22" s="74">
        <f>341+341*48*2</f>
        <v>33077</v>
      </c>
    </row>
    <row r="23" spans="1:25" s="118" customFormat="1">
      <c r="B23" s="118" t="s">
        <v>79</v>
      </c>
      <c r="C23" s="119">
        <f>5000*12</f>
        <v>60000</v>
      </c>
      <c r="H23" s="118">
        <v>20</v>
      </c>
      <c r="I23" s="120" t="s">
        <v>91</v>
      </c>
      <c r="J23" s="121">
        <v>182</v>
      </c>
      <c r="K23" s="121">
        <f t="shared" si="0"/>
        <v>159605.67046135903</v>
      </c>
      <c r="L23" s="122">
        <f>45*144*2*2</f>
        <v>25920</v>
      </c>
      <c r="M23" s="122"/>
      <c r="N23" s="122">
        <f>287+667+1512+1302+1248</f>
        <v>5016</v>
      </c>
      <c r="O23" s="123">
        <f>$C$43*(площади!O20+площади!P20)</f>
        <v>401.67046135903536</v>
      </c>
      <c r="P23" s="122"/>
      <c r="Q23" s="122">
        <f>3720+1147*8+7428</f>
        <v>20324</v>
      </c>
      <c r="R23" s="122"/>
      <c r="S23" s="122">
        <f>258+258*32</f>
        <v>8514</v>
      </c>
      <c r="T23" s="122">
        <f>49*площади!I20</f>
        <v>37975</v>
      </c>
      <c r="U23" s="122">
        <f>(площади!I20-площади!J20)*25+площади!J20*50</f>
        <v>23875</v>
      </c>
      <c r="V23" s="122">
        <f t="shared" si="1"/>
        <v>23875</v>
      </c>
      <c r="W23" s="122">
        <f t="shared" si="2"/>
        <v>8850</v>
      </c>
      <c r="X23" s="122">
        <f>49*10+27*10</f>
        <v>760</v>
      </c>
      <c r="Y23" s="122">
        <f>341*3+32*48*2</f>
        <v>4095</v>
      </c>
    </row>
    <row r="24" spans="1:25" s="101" customFormat="1">
      <c r="A24" s="108"/>
      <c r="B24" s="108" t="s">
        <v>80</v>
      </c>
      <c r="C24" s="109">
        <v>202870.33</v>
      </c>
      <c r="D24" s="108"/>
      <c r="E24" s="108"/>
      <c r="F24" s="108"/>
      <c r="G24" s="108"/>
      <c r="H24" s="108">
        <v>21</v>
      </c>
      <c r="I24" s="102" t="s">
        <v>91</v>
      </c>
      <c r="J24" s="103">
        <v>184</v>
      </c>
      <c r="K24" s="103">
        <f t="shared" si="0"/>
        <v>405080.31431848684</v>
      </c>
      <c r="L24" s="104"/>
      <c r="M24" s="104">
        <f>2604+673*10+14804+959*10</f>
        <v>33728</v>
      </c>
      <c r="N24" s="104">
        <f>774+2*667+200120/5+1237*10</f>
        <v>54502</v>
      </c>
      <c r="O24" s="105">
        <f>$C$43*(площади!O21+площади!P21)</f>
        <v>1061.3143184868268</v>
      </c>
      <c r="P24" s="104"/>
      <c r="Q24" s="104">
        <f>9839+1147*12+7113+1147*7+2139+1147*6+2554+1147*4+4248+1147*8+5432+1147*8+2890+1147*6</f>
        <v>92712</v>
      </c>
      <c r="R24" s="104">
        <f>3644+2393*4+3549+2393*2+1147*4+144+175*15*8</f>
        <v>47283</v>
      </c>
      <c r="S24" s="104">
        <f>40*258</f>
        <v>10320</v>
      </c>
      <c r="T24" s="104">
        <f>49*площади!I21</f>
        <v>50666</v>
      </c>
      <c r="U24" s="104">
        <f>(площади!I21-площади!J21)*25+площади!J21*50</f>
        <v>31850</v>
      </c>
      <c r="V24" s="104">
        <f t="shared" si="1"/>
        <v>31850</v>
      </c>
      <c r="W24" s="104">
        <f t="shared" si="2"/>
        <v>8850</v>
      </c>
      <c r="X24" s="104">
        <f>48*2+112*2+48+742+81+49*3</f>
        <v>1338</v>
      </c>
      <c r="Y24" s="104">
        <f>341*60*2</f>
        <v>40920</v>
      </c>
    </row>
    <row r="25" spans="1:25" s="66" customFormat="1">
      <c r="A25" s="92"/>
      <c r="B25" s="92" t="s">
        <v>71</v>
      </c>
      <c r="C25" s="100">
        <f>10185339.44+19926.44+1860954.11</f>
        <v>12066219.989999998</v>
      </c>
      <c r="D25" s="92"/>
      <c r="E25" s="92"/>
      <c r="F25" s="92"/>
      <c r="G25" s="92"/>
      <c r="H25" s="92">
        <v>22</v>
      </c>
      <c r="I25" s="72" t="s">
        <v>91</v>
      </c>
      <c r="J25" s="73" t="s">
        <v>92</v>
      </c>
      <c r="K25" s="73">
        <f t="shared" si="0"/>
        <v>474497.28680096695</v>
      </c>
      <c r="L25" s="74"/>
      <c r="M25" s="74">
        <f>667+230</f>
        <v>897</v>
      </c>
      <c r="N25" s="74">
        <f>200120+1237*4</f>
        <v>205068</v>
      </c>
      <c r="O25" s="94">
        <f>$C$43*(площади!O22+площади!P22)</f>
        <v>1712.2868009669287</v>
      </c>
      <c r="P25" s="74">
        <f>673*40</f>
        <v>26920</v>
      </c>
      <c r="Q25" s="74">
        <f>1369+301+1095*3+271</f>
        <v>5226</v>
      </c>
      <c r="R25" s="74">
        <f>175*3+2393*3</f>
        <v>7704</v>
      </c>
      <c r="S25" s="74">
        <f>57*258</f>
        <v>14706</v>
      </c>
      <c r="T25" s="74">
        <f>49*площади!I22</f>
        <v>63798</v>
      </c>
      <c r="U25" s="74">
        <f>(площади!I22-площади!J22)*25+площади!J22*50</f>
        <v>40050</v>
      </c>
      <c r="V25" s="74">
        <f t="shared" si="1"/>
        <v>40050</v>
      </c>
      <c r="W25" s="74">
        <f t="shared" si="2"/>
        <v>8850</v>
      </c>
      <c r="X25" s="74">
        <f>172+81+8*49+219</f>
        <v>864</v>
      </c>
      <c r="Y25" s="74">
        <f>341*86*2</f>
        <v>58652</v>
      </c>
    </row>
    <row r="26" spans="1:25" s="66" customFormat="1">
      <c r="A26" s="92"/>
      <c r="B26" s="92" t="s">
        <v>72</v>
      </c>
      <c r="C26" s="100">
        <f>4238988.92*1.22</f>
        <v>5171566.4824000001</v>
      </c>
      <c r="D26" s="92"/>
      <c r="E26" s="92"/>
      <c r="F26" s="92"/>
      <c r="G26" s="92"/>
      <c r="H26" s="92">
        <v>23</v>
      </c>
      <c r="I26" s="72" t="s">
        <v>91</v>
      </c>
      <c r="J26" s="73">
        <v>242</v>
      </c>
      <c r="K26" s="73">
        <f t="shared" si="0"/>
        <v>580578.0294956502</v>
      </c>
      <c r="L26" s="74">
        <f>4*45*384</f>
        <v>69120</v>
      </c>
      <c r="M26" s="74">
        <f>3677+3677+7*959+667+1475*20+808</f>
        <v>45042</v>
      </c>
      <c r="N26" s="74">
        <f>200120</f>
        <v>200120</v>
      </c>
      <c r="O26" s="94">
        <f>$C$43*(площади!O23+площади!P23)</f>
        <v>1041.0294956502678</v>
      </c>
      <c r="P26" s="74"/>
      <c r="Q26" s="74">
        <f>1147+430+2366+1147*5+2366+1147*5+1147+4232+1147*24+3962+1147*12+4506*2</f>
        <v>77424</v>
      </c>
      <c r="R26" s="74">
        <f>1652+2393</f>
        <v>4045</v>
      </c>
      <c r="S26" s="74">
        <f>22*258</f>
        <v>5676</v>
      </c>
      <c r="T26" s="74">
        <f>49*площади!I23</f>
        <v>63602</v>
      </c>
      <c r="U26" s="74">
        <f>(площади!I23-площади!J23)*25+площади!J23*50</f>
        <v>39950</v>
      </c>
      <c r="V26" s="74">
        <f t="shared" si="1"/>
        <v>39950</v>
      </c>
      <c r="W26" s="74">
        <f t="shared" si="2"/>
        <v>8850</v>
      </c>
      <c r="X26" s="74">
        <f>135+108+135+297+351+49*25+220*3</f>
        <v>2911</v>
      </c>
      <c r="Y26" s="74">
        <f>341+341*33*2</f>
        <v>22847</v>
      </c>
    </row>
    <row r="27" spans="1:25" s="66" customFormat="1">
      <c r="A27" s="92"/>
      <c r="B27" s="92" t="s">
        <v>73</v>
      </c>
      <c r="C27" s="100">
        <f>3532328.3*1.22</f>
        <v>4309440.5259999996</v>
      </c>
      <c r="D27" s="92"/>
      <c r="E27" s="92"/>
      <c r="F27" s="92"/>
      <c r="G27" s="92"/>
      <c r="H27" s="92">
        <v>24</v>
      </c>
      <c r="I27" s="72" t="s">
        <v>91</v>
      </c>
      <c r="J27" s="73" t="s">
        <v>93</v>
      </c>
      <c r="K27" s="73">
        <f t="shared" si="0"/>
        <v>100638.02191628084</v>
      </c>
      <c r="L27" s="74"/>
      <c r="M27" s="74">
        <v>3200</v>
      </c>
      <c r="N27" s="74">
        <v>909</v>
      </c>
      <c r="O27" s="94">
        <f>$C$43*(площади!O24+площади!P24)</f>
        <v>742.02191628083938</v>
      </c>
      <c r="P27" s="74"/>
      <c r="Q27" s="74">
        <f>4320+2290+1440+987</f>
        <v>9037</v>
      </c>
      <c r="R27" s="74">
        <f>175*22+1848+3696</f>
        <v>9394</v>
      </c>
      <c r="S27" s="74">
        <f>16*258</f>
        <v>4128</v>
      </c>
      <c r="T27" s="74">
        <f>49*площади!I24</f>
        <v>24647</v>
      </c>
      <c r="U27" s="74">
        <f>(площади!I24-площади!J24)*25+площади!J24*50</f>
        <v>15575</v>
      </c>
      <c r="V27" s="74">
        <f>U27/2+0.5</f>
        <v>7788</v>
      </c>
      <c r="W27" s="74">
        <f t="shared" si="2"/>
        <v>8850</v>
      </c>
      <c r="X27" s="74"/>
      <c r="Y27" s="74">
        <f>24*341*2</f>
        <v>16368</v>
      </c>
    </row>
    <row r="28" spans="1:25" s="66" customFormat="1">
      <c r="A28" s="92"/>
      <c r="B28" s="92" t="s">
        <v>74</v>
      </c>
      <c r="C28" s="100">
        <f>(2164677.31+239449)*1.22</f>
        <v>2933034.0981999999</v>
      </c>
      <c r="D28" s="92"/>
      <c r="E28" s="92"/>
      <c r="F28" s="92"/>
      <c r="G28" s="92"/>
      <c r="H28" s="92">
        <v>25</v>
      </c>
      <c r="I28" s="72" t="s">
        <v>91</v>
      </c>
      <c r="J28" s="73">
        <v>248</v>
      </c>
      <c r="K28" s="73">
        <f t="shared" si="0"/>
        <v>244570.50764012299</v>
      </c>
      <c r="L28" s="74">
        <f>3*45*2*120</f>
        <v>32400</v>
      </c>
      <c r="M28" s="74">
        <f>370+220*5</f>
        <v>1470</v>
      </c>
      <c r="N28" s="74"/>
      <c r="O28" s="94">
        <f>$C$43*(площади!O25+площади!P25)</f>
        <v>781.50764012299601</v>
      </c>
      <c r="P28" s="74"/>
      <c r="Q28" s="74">
        <f>866+1147+12185+1147*53+8709+1147*11</f>
        <v>96315</v>
      </c>
      <c r="R28" s="74">
        <f>175*10</f>
        <v>1750</v>
      </c>
      <c r="S28" s="74">
        <f>258*15</f>
        <v>3870</v>
      </c>
      <c r="T28" s="74">
        <f>49*площади!I25</f>
        <v>36848</v>
      </c>
      <c r="U28" s="74">
        <f>(площади!I25-площади!J25)*25+площади!J25*50</f>
        <v>23300</v>
      </c>
      <c r="V28" s="74">
        <f t="shared" si="1"/>
        <v>23300</v>
      </c>
      <c r="W28" s="74">
        <f t="shared" si="2"/>
        <v>8850</v>
      </c>
      <c r="X28" s="74"/>
      <c r="Y28" s="74">
        <f>341*23*2</f>
        <v>15686</v>
      </c>
    </row>
    <row r="29" spans="1:25" s="66" customFormat="1">
      <c r="A29" s="92"/>
      <c r="B29" s="92"/>
      <c r="C29" s="100"/>
      <c r="D29" s="92"/>
      <c r="E29" s="92"/>
      <c r="F29" s="92"/>
      <c r="G29" s="92"/>
      <c r="H29" s="92">
        <v>26</v>
      </c>
      <c r="I29" s="72" t="s">
        <v>91</v>
      </c>
      <c r="J29" s="73">
        <v>250</v>
      </c>
      <c r="K29" s="73">
        <f t="shared" si="0"/>
        <v>151414.02121596053</v>
      </c>
      <c r="L29" s="74">
        <f>45*2*252*2</f>
        <v>45360</v>
      </c>
      <c r="M29" s="74"/>
      <c r="N29" s="74">
        <f>1188+4910</f>
        <v>6098</v>
      </c>
      <c r="O29" s="94">
        <f>$C$43*(площади!O26+площади!P26)</f>
        <v>1552.0212159605287</v>
      </c>
      <c r="P29" s="74"/>
      <c r="Q29" s="74">
        <f>2140+1147*3+2400</f>
        <v>7981</v>
      </c>
      <c r="R29" s="74">
        <f>175*20+72</f>
        <v>3572</v>
      </c>
      <c r="S29" s="74">
        <f>16*258</f>
        <v>4128</v>
      </c>
      <c r="T29" s="74">
        <f>49*площади!I26</f>
        <v>24696</v>
      </c>
      <c r="U29" s="74">
        <f>(площади!I26-площади!J26)*25+площади!J26*50</f>
        <v>15600</v>
      </c>
      <c r="V29" s="74">
        <f t="shared" si="1"/>
        <v>15600</v>
      </c>
      <c r="W29" s="74">
        <f t="shared" si="2"/>
        <v>8850</v>
      </c>
      <c r="X29" s="74">
        <f>1077+49*7+27*7</f>
        <v>1609</v>
      </c>
      <c r="Y29" s="74">
        <f>341*24*2</f>
        <v>16368</v>
      </c>
    </row>
    <row r="30" spans="1:25" s="95" customFormat="1">
      <c r="A30" s="92"/>
      <c r="B30" s="92" t="s">
        <v>110</v>
      </c>
      <c r="C30" s="100">
        <v>199800</v>
      </c>
      <c r="D30" s="92"/>
      <c r="E30" s="92"/>
      <c r="F30" s="92"/>
      <c r="G30" s="92"/>
      <c r="H30" s="92">
        <v>27</v>
      </c>
      <c r="I30" s="96" t="s">
        <v>94</v>
      </c>
      <c r="J30" s="97">
        <v>4</v>
      </c>
      <c r="K30" s="97">
        <f t="shared" si="0"/>
        <v>350322.14964062755</v>
      </c>
      <c r="L30" s="98">
        <f>45*36*2</f>
        <v>3240</v>
      </c>
      <c r="M30" s="98">
        <f>3397+7758</f>
        <v>11155</v>
      </c>
      <c r="N30" s="98" t="s">
        <v>158</v>
      </c>
      <c r="O30" s="99">
        <f>$C$43*(площади!O27+площади!P27)</f>
        <v>714.14964062755246</v>
      </c>
      <c r="P30" s="98"/>
      <c r="Q30" s="98">
        <f>2914+307+498+1547+1335+5*1147</f>
        <v>12336</v>
      </c>
      <c r="R30" s="98">
        <f>731+467+1043+862+814+5*2393+22753+13241+32547+6641+2393*12</f>
        <v>119780</v>
      </c>
      <c r="S30" s="98">
        <f>6*258+38*258</f>
        <v>11352</v>
      </c>
      <c r="T30" s="98">
        <f>49*площади!I27</f>
        <v>63749</v>
      </c>
      <c r="U30" s="98">
        <f>(площади!I27-площади!J27)*25+площади!J27*50</f>
        <v>40025</v>
      </c>
      <c r="V30" s="98">
        <f t="shared" si="1"/>
        <v>40025</v>
      </c>
      <c r="W30" s="98">
        <f t="shared" si="2"/>
        <v>8850</v>
      </c>
      <c r="X30" s="98">
        <v>144</v>
      </c>
      <c r="Y30" s="98">
        <f>2*39+341*57*2</f>
        <v>38952</v>
      </c>
    </row>
    <row r="31" spans="1:25" s="66" customFormat="1">
      <c r="A31" s="92"/>
      <c r="B31" s="92"/>
      <c r="C31" s="100"/>
      <c r="D31" s="92"/>
      <c r="E31" s="92"/>
      <c r="F31" s="92"/>
      <c r="G31" s="92"/>
      <c r="H31" s="92">
        <v>28</v>
      </c>
      <c r="I31" s="72" t="s">
        <v>94</v>
      </c>
      <c r="J31" s="73">
        <v>6</v>
      </c>
      <c r="K31" s="73">
        <f t="shared" si="0"/>
        <v>89687.619292442192</v>
      </c>
      <c r="L31" s="74"/>
      <c r="M31" s="74"/>
      <c r="N31" s="74">
        <f>1175+500+1200+882</f>
        <v>3757</v>
      </c>
      <c r="O31" s="94">
        <f>$C$43*(площади!O28+площади!P28)</f>
        <v>548.61929244219834</v>
      </c>
      <c r="P31" s="74"/>
      <c r="Q31" s="74">
        <f>1277+1147*1</f>
        <v>2424</v>
      </c>
      <c r="R31" s="74">
        <f>2393*1+546</f>
        <v>2939</v>
      </c>
      <c r="S31" s="74">
        <f>12*258</f>
        <v>3096</v>
      </c>
      <c r="T31" s="74">
        <f>49*площади!I28</f>
        <v>24647</v>
      </c>
      <c r="U31" s="74">
        <f>(площади!I28-площади!J28)*25+площади!J28*50</f>
        <v>15575</v>
      </c>
      <c r="V31" s="74">
        <f t="shared" si="1"/>
        <v>15575</v>
      </c>
      <c r="W31" s="74">
        <f t="shared" si="2"/>
        <v>8850</v>
      </c>
      <c r="X31" s="74"/>
      <c r="Y31" s="74">
        <f>341*18*2</f>
        <v>12276</v>
      </c>
    </row>
    <row r="32" spans="1:25" s="66" customFormat="1">
      <c r="A32" s="92"/>
      <c r="B32" s="92" t="s">
        <v>153</v>
      </c>
      <c r="C32" s="100">
        <v>386763</v>
      </c>
      <c r="D32" s="92"/>
      <c r="E32" s="100">
        <f>C32+C33</f>
        <v>1139940.0527999999</v>
      </c>
      <c r="F32" s="92"/>
      <c r="G32" s="92"/>
      <c r="H32" s="92">
        <v>29</v>
      </c>
      <c r="I32" s="72" t="s">
        <v>95</v>
      </c>
      <c r="J32" s="73">
        <v>16</v>
      </c>
      <c r="K32" s="73">
        <f t="shared" si="0"/>
        <v>295576.36825731554</v>
      </c>
      <c r="L32" s="74"/>
      <c r="M32" s="74">
        <f>740+1748+6118</f>
        <v>8606</v>
      </c>
      <c r="N32" s="74">
        <f>548+560+3698</f>
        <v>4806</v>
      </c>
      <c r="O32" s="94">
        <f>$C$43*(площади!O29+площади!P29)</f>
        <v>1248.3682573155527</v>
      </c>
      <c r="P32" s="74"/>
      <c r="Q32" s="74">
        <f>2214+892+2412+4851+908+3778+996+1234+7187+1835</f>
        <v>26307</v>
      </c>
      <c r="R32" s="74">
        <f>3683+2393*7+6381+2393*5+96+175*10+48+175*5+2084+2393*4+96+175*5+96+175*5+175*8+4600+2393*7</f>
        <v>77898</v>
      </c>
      <c r="S32" s="74">
        <f>40*258</f>
        <v>10320</v>
      </c>
      <c r="T32" s="74">
        <f>49*площади!I29</f>
        <v>51107</v>
      </c>
      <c r="U32" s="74">
        <f>(площади!I29-площади!J29)*25+площади!J29*50</f>
        <v>32075</v>
      </c>
      <c r="V32" s="74">
        <f t="shared" si="1"/>
        <v>32075</v>
      </c>
      <c r="W32" s="74">
        <f t="shared" si="2"/>
        <v>8850</v>
      </c>
      <c r="X32" s="74"/>
      <c r="Y32" s="74">
        <f>(302+39)*4+341*60*2</f>
        <v>42284</v>
      </c>
    </row>
    <row r="33" spans="1:25" s="66" customFormat="1">
      <c r="A33" s="92"/>
      <c r="B33" s="92" t="s">
        <v>152</v>
      </c>
      <c r="C33" s="100">
        <f>25723.26*2*12*1.22</f>
        <v>753177.05279999995</v>
      </c>
      <c r="D33" s="92"/>
      <c r="E33" s="92"/>
      <c r="F33" s="92"/>
      <c r="G33" s="92"/>
      <c r="H33" s="92">
        <v>30</v>
      </c>
      <c r="I33" s="72" t="s">
        <v>95</v>
      </c>
      <c r="J33" s="73">
        <v>18</v>
      </c>
      <c r="K33" s="73">
        <f t="shared" si="0"/>
        <v>235883.84978055928</v>
      </c>
      <c r="L33" s="74"/>
      <c r="M33" s="74"/>
      <c r="N33" s="74">
        <f>584+667*2+546+479*5</f>
        <v>4859</v>
      </c>
      <c r="O33" s="94">
        <f>$C$43*(площади!O30+площади!P30)</f>
        <v>1060.8497805592719</v>
      </c>
      <c r="P33" s="74">
        <f>2604+673*10+1350+673*8</f>
        <v>16068</v>
      </c>
      <c r="Q33" s="74">
        <f>2773+1147*10+4568+1147*8+2031+1147*4+563+1147*2+1171+271*4</f>
        <v>39718</v>
      </c>
      <c r="R33" s="74">
        <f>192+175*15</f>
        <v>2817</v>
      </c>
      <c r="S33" s="74">
        <f>37*258</f>
        <v>9546</v>
      </c>
      <c r="T33" s="74">
        <f>49*площади!I30</f>
        <v>51205</v>
      </c>
      <c r="U33" s="74">
        <f>(площади!I30-площади!J30)*25+площади!J30*50</f>
        <v>32125</v>
      </c>
      <c r="V33" s="74">
        <f t="shared" si="1"/>
        <v>32125</v>
      </c>
      <c r="W33" s="74">
        <f t="shared" si="2"/>
        <v>8850</v>
      </c>
      <c r="X33" s="74"/>
      <c r="Y33" s="74">
        <f>341*55*2</f>
        <v>37510</v>
      </c>
    </row>
    <row r="34" spans="1:25" s="66" customFormat="1">
      <c r="A34" s="92"/>
      <c r="B34" s="92"/>
      <c r="C34" s="100"/>
      <c r="D34" s="92"/>
      <c r="E34" s="92"/>
      <c r="F34" s="92"/>
      <c r="G34" s="92"/>
      <c r="H34" s="92">
        <v>31</v>
      </c>
      <c r="I34" s="72" t="s">
        <v>95</v>
      </c>
      <c r="J34" s="73" t="s">
        <v>96</v>
      </c>
      <c r="K34" s="73">
        <f t="shared" si="0"/>
        <v>208255.30552139919</v>
      </c>
      <c r="L34" s="74"/>
      <c r="M34" s="74"/>
      <c r="N34" s="74">
        <f>574+667*2+1560+334</f>
        <v>3802</v>
      </c>
      <c r="O34" s="94">
        <f>$C$43*(площади!O31+площади!P31)</f>
        <v>1286.3055213991931</v>
      </c>
      <c r="P34" s="74"/>
      <c r="Q34" s="74">
        <f>1440+1147*5+1938+1147*3+2504+1147*4+459+1147</f>
        <v>21252</v>
      </c>
      <c r="R34" s="74">
        <f>175*30</f>
        <v>5250</v>
      </c>
      <c r="S34" s="74">
        <f>40*258</f>
        <v>10320</v>
      </c>
      <c r="T34" s="74">
        <f>49*площади!I31</f>
        <v>50813</v>
      </c>
      <c r="U34" s="74">
        <f>(площади!I31-площади!J31)*25+площади!J31*50</f>
        <v>31925</v>
      </c>
      <c r="V34" s="74">
        <f t="shared" si="1"/>
        <v>31925</v>
      </c>
      <c r="W34" s="74">
        <f t="shared" si="2"/>
        <v>8850</v>
      </c>
      <c r="X34" s="74">
        <f>27*4+49*4+368+220*2+58+742</f>
        <v>1912</v>
      </c>
      <c r="Y34" s="74">
        <f>341*60*2</f>
        <v>40920</v>
      </c>
    </row>
    <row r="35" spans="1:25" s="66" customFormat="1">
      <c r="A35" s="92"/>
      <c r="B35" s="92"/>
      <c r="C35" s="100"/>
      <c r="D35" s="92"/>
      <c r="E35" s="92"/>
      <c r="F35" s="92"/>
      <c r="G35" s="92"/>
      <c r="H35" s="92">
        <v>32</v>
      </c>
      <c r="I35" s="72" t="s">
        <v>97</v>
      </c>
      <c r="J35" s="73">
        <v>44</v>
      </c>
      <c r="K35" s="73">
        <f t="shared" si="0"/>
        <v>759289.42688409472</v>
      </c>
      <c r="L35" s="74"/>
      <c r="M35" s="74">
        <v>420</v>
      </c>
      <c r="N35" s="74">
        <f>421+667+2824+3677+1130+3677+2518+3677+1854+500+100+1237+840</f>
        <v>23122</v>
      </c>
      <c r="O35" s="94">
        <f>$C$43*(площади!O32+площади!P32)</f>
        <v>435.42688409468292</v>
      </c>
      <c r="P35" s="74"/>
      <c r="Q35" s="74">
        <f>586+271+310+259+137+2928+1147*4+271+1192+271+2493+1147*2+4506+744+4506*2+1595+4506+2056+1147*2+271*20*30</f>
        <v>202913</v>
      </c>
      <c r="R35" s="74">
        <f>568*15*10+175*15*20</f>
        <v>137700</v>
      </c>
      <c r="S35" s="74">
        <f>42*258</f>
        <v>10836</v>
      </c>
      <c r="T35" s="74">
        <f>49*площади!I32*4</f>
        <v>127988</v>
      </c>
      <c r="U35" s="74">
        <f>(площади!I32-площади!J32)*25*3+площади!J32*50*3</f>
        <v>57975</v>
      </c>
      <c r="V35" s="74">
        <f>U35*2.4</f>
        <v>139140</v>
      </c>
      <c r="W35" s="74">
        <f t="shared" si="2"/>
        <v>8850</v>
      </c>
      <c r="X35" s="74">
        <f>742+742+145+523+49*18+219+81+49*3+189+49*7+81+49*3+162+49*6+49+145+742+168+27*3+49*3+144+81+300+49</f>
        <v>6603</v>
      </c>
      <c r="Y35" s="74">
        <f>341+341*63*2</f>
        <v>43307</v>
      </c>
    </row>
    <row r="36" spans="1:25" s="66" customFormat="1">
      <c r="A36" s="92"/>
      <c r="B36" s="92" t="s">
        <v>165</v>
      </c>
      <c r="C36" s="100">
        <v>108008</v>
      </c>
      <c r="D36" s="92"/>
      <c r="E36" s="92"/>
      <c r="F36" s="92"/>
      <c r="G36" s="92"/>
      <c r="H36" s="92">
        <v>33</v>
      </c>
      <c r="I36" s="72" t="s">
        <v>99</v>
      </c>
      <c r="J36" s="73">
        <v>33</v>
      </c>
      <c r="K36" s="73">
        <f t="shared" si="0"/>
        <v>176147.54273701232</v>
      </c>
      <c r="L36" s="74"/>
      <c r="M36" s="74">
        <f>385+667</f>
        <v>1052</v>
      </c>
      <c r="N36" s="74">
        <f>74+667+370+220*5+893+667+2310+1237*90</f>
        <v>117411</v>
      </c>
      <c r="O36" s="94">
        <f>$C$43*(площади!O33+площади!P33)</f>
        <v>429.54273701232228</v>
      </c>
      <c r="P36" s="74"/>
      <c r="Q36" s="74"/>
      <c r="R36" s="74"/>
      <c r="S36" s="74">
        <f>13*258</f>
        <v>3354</v>
      </c>
      <c r="T36" s="74">
        <f>49*площади!I33</f>
        <v>13671</v>
      </c>
      <c r="U36" s="74">
        <f>(площади!I33-площади!J33)*25+площади!J33*50</f>
        <v>8475</v>
      </c>
      <c r="V36" s="74">
        <f t="shared" si="1"/>
        <v>8475</v>
      </c>
      <c r="W36" s="74">
        <f t="shared" si="2"/>
        <v>8850</v>
      </c>
      <c r="X36" s="74">
        <f>48+742</f>
        <v>790</v>
      </c>
      <c r="Y36" s="74">
        <f>341*20*2</f>
        <v>13640</v>
      </c>
    </row>
    <row r="37" spans="1:25" s="66" customFormat="1">
      <c r="A37" s="92"/>
      <c r="B37" s="92" t="s">
        <v>166</v>
      </c>
      <c r="C37" s="100">
        <v>687222</v>
      </c>
      <c r="D37" s="92"/>
      <c r="E37" s="92"/>
      <c r="F37" s="92"/>
      <c r="G37" s="92"/>
      <c r="H37" s="92">
        <v>34</v>
      </c>
      <c r="I37" s="72" t="s">
        <v>100</v>
      </c>
      <c r="J37" s="73" t="s">
        <v>101</v>
      </c>
      <c r="K37" s="73">
        <f t="shared" si="0"/>
        <v>76483.251978461223</v>
      </c>
      <c r="L37" s="74"/>
      <c r="M37" s="74">
        <f>1951+2494+1248+1302</f>
        <v>6995</v>
      </c>
      <c r="N37" s="74"/>
      <c r="O37" s="94">
        <f>$C$43*(площади!O34+площади!P34)</f>
        <v>420.25197846122666</v>
      </c>
      <c r="P37" s="74"/>
      <c r="Q37" s="74">
        <f>1147*10+2290+356</f>
        <v>14116</v>
      </c>
      <c r="R37" s="74"/>
      <c r="S37" s="74">
        <f>13*258</f>
        <v>3354</v>
      </c>
      <c r="T37" s="74">
        <f>49*площади!I34</f>
        <v>13818</v>
      </c>
      <c r="U37" s="74">
        <f>(площади!I34-площади!J34)*25+площади!J34*50</f>
        <v>7800</v>
      </c>
      <c r="V37" s="74">
        <f t="shared" si="1"/>
        <v>7800</v>
      </c>
      <c r="W37" s="74">
        <f t="shared" si="2"/>
        <v>8850</v>
      </c>
      <c r="X37" s="74">
        <f>54+49*2+220</f>
        <v>372</v>
      </c>
      <c r="Y37" s="74">
        <f>341*19*2</f>
        <v>12958</v>
      </c>
    </row>
    <row r="38" spans="1:25" s="66" customFormat="1">
      <c r="A38" s="92"/>
      <c r="B38" s="92" t="s">
        <v>167</v>
      </c>
      <c r="C38" s="100">
        <v>50000</v>
      </c>
      <c r="D38" s="92"/>
      <c r="E38" s="92"/>
      <c r="F38" s="92"/>
      <c r="G38" s="92"/>
      <c r="H38" s="92">
        <v>35</v>
      </c>
      <c r="I38" s="72" t="s">
        <v>100</v>
      </c>
      <c r="J38" s="73">
        <v>64</v>
      </c>
      <c r="K38" s="73">
        <f t="shared" si="0"/>
        <v>94729.613874125556</v>
      </c>
      <c r="L38" s="74"/>
      <c r="M38" s="74">
        <f>2255+1818+2494*2</f>
        <v>9061</v>
      </c>
      <c r="N38" s="74"/>
      <c r="O38" s="94">
        <f>$C$43*(площади!O35+площади!P35)</f>
        <v>845.61387412555598</v>
      </c>
      <c r="P38" s="74"/>
      <c r="Q38" s="74"/>
      <c r="R38" s="74">
        <f>175</f>
        <v>175</v>
      </c>
      <c r="S38" s="74">
        <f>16*258</f>
        <v>4128</v>
      </c>
      <c r="T38" s="74">
        <f>49*площади!I35</f>
        <v>24402</v>
      </c>
      <c r="U38" s="74">
        <f>(площади!I35-площади!J35)*25+площади!J35*50</f>
        <v>15450</v>
      </c>
      <c r="V38" s="74">
        <f t="shared" si="1"/>
        <v>15450</v>
      </c>
      <c r="W38" s="74">
        <f t="shared" si="2"/>
        <v>8850</v>
      </c>
      <c r="X38" s="74"/>
      <c r="Y38" s="74">
        <f>341*24*2</f>
        <v>16368</v>
      </c>
    </row>
    <row r="39" spans="1:25">
      <c r="B39" s="92" t="s">
        <v>168</v>
      </c>
      <c r="C39" s="100">
        <f>36*8</f>
        <v>288</v>
      </c>
      <c r="H39" s="92">
        <v>36</v>
      </c>
      <c r="I39" s="69" t="s">
        <v>102</v>
      </c>
      <c r="J39" s="75" t="s">
        <v>103</v>
      </c>
      <c r="K39" s="70">
        <f t="shared" si="0"/>
        <v>20004.350024235257</v>
      </c>
      <c r="L39" s="71"/>
      <c r="M39" s="71"/>
      <c r="N39" s="71"/>
      <c r="O39" s="93">
        <f>$C$43*(площади!O36+площади!P36)</f>
        <v>447.35002423525566</v>
      </c>
      <c r="P39" s="71"/>
      <c r="Q39" s="71"/>
      <c r="R39" s="71"/>
      <c r="S39" s="71"/>
      <c r="T39" s="71">
        <f>49*площади!I36</f>
        <v>4557</v>
      </c>
      <c r="U39" s="71">
        <f>(площади!I36-площади!J36)*25+площади!J36*50</f>
        <v>3075</v>
      </c>
      <c r="V39" s="71">
        <f t="shared" si="1"/>
        <v>3075</v>
      </c>
      <c r="W39" s="71">
        <f t="shared" si="2"/>
        <v>8850</v>
      </c>
      <c r="X39" s="71"/>
      <c r="Y39" s="71"/>
    </row>
    <row r="40" spans="1:25" s="80" customFormat="1">
      <c r="A40" s="108"/>
      <c r="B40" s="108"/>
      <c r="C40" s="109"/>
      <c r="D40" s="108"/>
      <c r="E40" s="108"/>
      <c r="F40" s="108"/>
      <c r="G40" s="108"/>
      <c r="H40" s="92">
        <v>37</v>
      </c>
      <c r="I40" s="81" t="s">
        <v>102</v>
      </c>
      <c r="J40" s="82" t="s">
        <v>104</v>
      </c>
      <c r="K40" s="83">
        <f t="shared" si="0"/>
        <v>8850</v>
      </c>
      <c r="L40" s="84"/>
      <c r="M40" s="84"/>
      <c r="N40" s="84"/>
      <c r="O40" s="93">
        <f>$C$43*(площади!O37+площади!P37)</f>
        <v>0</v>
      </c>
      <c r="P40" s="84"/>
      <c r="Q40" s="84"/>
      <c r="R40" s="84"/>
      <c r="S40" s="84"/>
      <c r="T40" s="84">
        <f>49*площади!I37</f>
        <v>0</v>
      </c>
      <c r="U40" s="84">
        <f>(площади!I37-площади!J37)*25+площади!J37*50</f>
        <v>0</v>
      </c>
      <c r="V40" s="71">
        <f t="shared" si="1"/>
        <v>0</v>
      </c>
      <c r="W40" s="71">
        <f t="shared" si="2"/>
        <v>8850</v>
      </c>
      <c r="X40" s="84"/>
      <c r="Y40" s="84"/>
    </row>
    <row r="41" spans="1:25">
      <c r="H41" s="92">
        <v>38</v>
      </c>
      <c r="I41" s="69" t="s">
        <v>105</v>
      </c>
      <c r="J41" s="70" t="s">
        <v>106</v>
      </c>
      <c r="K41" s="70">
        <f t="shared" si="0"/>
        <v>67209.456608397973</v>
      </c>
      <c r="L41" s="71">
        <f>45*2*36*2</f>
        <v>6480</v>
      </c>
      <c r="M41" s="71"/>
      <c r="N41" s="71">
        <f>6700+1237*5</f>
        <v>12885</v>
      </c>
      <c r="O41" s="93">
        <f>$C$43*(площади!O38+площади!P38)</f>
        <v>106.45660839797102</v>
      </c>
      <c r="P41" s="71"/>
      <c r="Q41" s="71"/>
      <c r="R41" s="71">
        <f>175*15</f>
        <v>2625</v>
      </c>
      <c r="S41" s="71">
        <f>5*258</f>
        <v>1290</v>
      </c>
      <c r="T41" s="71">
        <f>49*площади!I38</f>
        <v>13867</v>
      </c>
      <c r="U41" s="71">
        <f>(площади!I38-площади!J38)*25+площади!J38*50</f>
        <v>7825</v>
      </c>
      <c r="V41" s="71">
        <f t="shared" si="1"/>
        <v>7825</v>
      </c>
      <c r="W41" s="71">
        <f t="shared" si="2"/>
        <v>8850</v>
      </c>
      <c r="X41" s="71"/>
      <c r="Y41" s="71">
        <f>341*8*2</f>
        <v>5456</v>
      </c>
    </row>
    <row r="42" spans="1:25">
      <c r="G42" s="92">
        <v>320</v>
      </c>
      <c r="I42" s="69" t="s">
        <v>186</v>
      </c>
      <c r="J42" s="70">
        <v>19</v>
      </c>
      <c r="K42" s="70">
        <f t="shared" ref="K42" si="3">SUM(L42:Y42)</f>
        <v>222429.04812462133</v>
      </c>
      <c r="L42" s="71">
        <f>132*45*2*5</f>
        <v>59400</v>
      </c>
      <c r="M42" s="71">
        <f>461*30</f>
        <v>13830</v>
      </c>
      <c r="N42" s="71">
        <f>8985+1237*25</f>
        <v>39910</v>
      </c>
      <c r="O42" s="93">
        <f>$C$43*(834.5+667.7)</f>
        <v>1163.0481246213242</v>
      </c>
      <c r="P42" s="71"/>
      <c r="Q42" s="71"/>
      <c r="R42" s="71">
        <f>4750+2393*8+6577+2393*11+175*15*10</f>
        <v>83044</v>
      </c>
      <c r="S42" s="71">
        <f>258*40</f>
        <v>10320</v>
      </c>
      <c r="T42" s="71"/>
      <c r="U42" s="71"/>
      <c r="V42" s="71"/>
      <c r="W42" s="71">
        <f t="shared" si="2"/>
        <v>8850</v>
      </c>
      <c r="X42" s="71">
        <f>27*6+49*6</f>
        <v>456</v>
      </c>
      <c r="Y42" s="71">
        <f>341*8*2</f>
        <v>5456</v>
      </c>
    </row>
    <row r="43" spans="1:25" ht="72.75">
      <c r="B43" s="92" t="s">
        <v>171</v>
      </c>
      <c r="C43" s="100">
        <f>3*249608.1/(B3*22)</f>
        <v>0.77422987925797104</v>
      </c>
      <c r="L43" s="67" t="s">
        <v>29</v>
      </c>
      <c r="M43" s="67" t="s">
        <v>156</v>
      </c>
      <c r="N43" s="67" t="s">
        <v>109</v>
      </c>
      <c r="O43" s="67" t="s">
        <v>171</v>
      </c>
      <c r="P43" s="67" t="s">
        <v>34</v>
      </c>
      <c r="Q43" s="68" t="s">
        <v>157</v>
      </c>
      <c r="R43" s="67" t="s">
        <v>37</v>
      </c>
      <c r="S43" s="67" t="s">
        <v>39</v>
      </c>
      <c r="T43" s="67" t="s">
        <v>42</v>
      </c>
      <c r="U43" s="67" t="s">
        <v>44</v>
      </c>
      <c r="V43" s="67" t="s">
        <v>46</v>
      </c>
      <c r="W43" s="67" t="s">
        <v>48</v>
      </c>
      <c r="X43" s="67" t="s">
        <v>58</v>
      </c>
      <c r="Y43" s="67" t="s">
        <v>155</v>
      </c>
    </row>
  </sheetData>
  <pageMargins left="0.7" right="0.7" top="0.75" bottom="0.75" header="0.3" footer="0.3"/>
  <pageSetup paperSize="9" scale="3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4" workbookViewId="0">
      <selection activeCell="B13" sqref="B10:B13"/>
    </sheetView>
  </sheetViews>
  <sheetFormatPr defaultRowHeight="15"/>
  <cols>
    <col min="1" max="1" width="66.57031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118</v>
      </c>
    </row>
    <row r="6" spans="1:3">
      <c r="A6" s="33"/>
    </row>
    <row r="7" spans="1:3">
      <c r="A7" s="34" t="s">
        <v>111</v>
      </c>
      <c r="B7" s="38">
        <f>площади!F34</f>
        <v>806.9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3941*0.28*1.45*2.1*1.22*12/2</f>
        <v>24595.907112000001</v>
      </c>
    </row>
    <row r="18" spans="1:3" ht="15" customHeight="1">
      <c r="A18" s="3" t="s">
        <v>12</v>
      </c>
      <c r="B18" s="76" t="s">
        <v>13</v>
      </c>
      <c r="C18" s="40">
        <f>0.07*B7*5/2</f>
        <v>141.20750000000001</v>
      </c>
    </row>
    <row r="19" spans="1:3" ht="15" customHeight="1">
      <c r="A19" s="3" t="s">
        <v>14</v>
      </c>
      <c r="B19" s="76" t="s">
        <v>13</v>
      </c>
      <c r="C19" s="40">
        <f>4*674.3*5/2</f>
        <v>6743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11530.279690839527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</f>
        <v>164.57049130894202</v>
      </c>
    </row>
    <row r="22" spans="1:3" ht="15" customHeight="1">
      <c r="A22" s="3" t="s">
        <v>18</v>
      </c>
      <c r="B22" s="76" t="s">
        <v>154</v>
      </c>
      <c r="C22" s="40">
        <f>3941*0.11*1.45*2.1*1.22*12/2</f>
        <v>9662.6777939999993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34606.295742672228</v>
      </c>
    </row>
    <row r="24" spans="1:3" s="7" customFormat="1" ht="15" customHeight="1">
      <c r="A24" s="3" t="s">
        <v>24</v>
      </c>
      <c r="B24" s="4" t="s">
        <v>25</v>
      </c>
      <c r="C24" s="40">
        <f>0.82*B7*12+B7*'общие данные '!C8/'общие данные '!B1/2</f>
        <v>9620.8735833775208</v>
      </c>
    </row>
    <row r="25" spans="1:3" s="7" customFormat="1" ht="15" customHeight="1">
      <c r="A25" s="3" t="s">
        <v>26</v>
      </c>
      <c r="B25" s="4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97064.811914198217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>
        <v>6995</v>
      </c>
    </row>
    <row r="31" spans="1:3" ht="15" customHeight="1">
      <c r="A31" s="3" t="s">
        <v>176</v>
      </c>
      <c r="B31" s="76" t="s">
        <v>13</v>
      </c>
      <c r="C31" s="40"/>
    </row>
    <row r="32" spans="1:3" ht="15" customHeight="1">
      <c r="A32" s="3" t="s">
        <v>159</v>
      </c>
      <c r="B32" s="76" t="s">
        <v>13</v>
      </c>
      <c r="C32" s="40">
        <v>420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'!B1+14116</f>
        <v>20445.022198624123</v>
      </c>
    </row>
    <row r="35" spans="1:3" ht="15" customHeight="1">
      <c r="A35" s="3" t="s">
        <v>162</v>
      </c>
      <c r="B35" s="76" t="s">
        <v>13</v>
      </c>
      <c r="C35" s="40">
        <f>175*10</f>
        <v>1750</v>
      </c>
    </row>
    <row r="36" spans="1:3" ht="15" customHeight="1">
      <c r="A36" s="3" t="s">
        <v>39</v>
      </c>
      <c r="B36" s="76" t="s">
        <v>13</v>
      </c>
      <c r="C36" s="40">
        <v>3354</v>
      </c>
    </row>
    <row r="37" spans="1:3" ht="15" customHeight="1">
      <c r="A37" s="3" t="s">
        <v>42</v>
      </c>
      <c r="B37" s="76" t="s">
        <v>13</v>
      </c>
      <c r="C37" s="40">
        <v>7818</v>
      </c>
    </row>
    <row r="38" spans="1:3" ht="15" customHeight="1">
      <c r="A38" s="3" t="s">
        <v>44</v>
      </c>
      <c r="B38" s="76" t="s">
        <v>13</v>
      </c>
      <c r="C38" s="40">
        <v>7800</v>
      </c>
    </row>
    <row r="39" spans="1:3" ht="28.5" customHeight="1">
      <c r="A39" s="3" t="s">
        <v>46</v>
      </c>
      <c r="B39" s="76" t="s">
        <v>47</v>
      </c>
      <c r="C39" s="40">
        <v>4800</v>
      </c>
    </row>
    <row r="40" spans="1:3" ht="15" customHeight="1">
      <c r="A40" s="3" t="s">
        <v>48</v>
      </c>
      <c r="B40" s="76" t="s">
        <v>161</v>
      </c>
      <c r="C40" s="40">
        <v>4425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372</v>
      </c>
    </row>
    <row r="43" spans="1:3" ht="15" customHeight="1">
      <c r="A43" s="3" t="s">
        <v>164</v>
      </c>
      <c r="B43" s="76" t="s">
        <v>13</v>
      </c>
      <c r="C43" s="40">
        <v>4958</v>
      </c>
    </row>
    <row r="44" spans="1:3" ht="15" customHeight="1">
      <c r="A44" s="5" t="s">
        <v>27</v>
      </c>
      <c r="B44" s="5"/>
      <c r="C44" s="41">
        <f>SUM(C29:C43)</f>
        <v>63137.022198624123</v>
      </c>
    </row>
    <row r="45" spans="1:3" ht="15" customHeight="1">
      <c r="A45" s="42" t="s">
        <v>54</v>
      </c>
      <c r="B45" s="42"/>
      <c r="C45" s="43">
        <f>C44+C26</f>
        <v>160201.83411282234</v>
      </c>
    </row>
    <row r="46" spans="1:3" ht="15" customHeight="1">
      <c r="A46" s="77"/>
      <c r="C46" s="8"/>
    </row>
    <row r="47" spans="1:3" ht="15" customHeight="1">
      <c r="A47" s="127" t="s">
        <v>200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7" workbookViewId="0">
      <selection activeCell="B13" sqref="B10:B13"/>
    </sheetView>
  </sheetViews>
  <sheetFormatPr defaultRowHeight="15"/>
  <cols>
    <col min="1" max="1" width="66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119</v>
      </c>
    </row>
    <row r="6" spans="1:3">
      <c r="A6" s="33"/>
    </row>
    <row r="7" spans="1:3">
      <c r="A7" s="34" t="s">
        <v>111</v>
      </c>
      <c r="B7" s="38">
        <f>площади!F35</f>
        <v>1303.3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3941*0.46*1.45*2.1*1.22*12/2</f>
        <v>40407.561684</v>
      </c>
    </row>
    <row r="18" spans="1:3" ht="15" customHeight="1">
      <c r="A18" s="3" t="s">
        <v>12</v>
      </c>
      <c r="B18" s="76" t="s">
        <v>13</v>
      </c>
      <c r="C18" s="40">
        <f>0.07*B7*5/2</f>
        <v>228.07750000000001</v>
      </c>
    </row>
    <row r="19" spans="1:3" ht="15" customHeight="1">
      <c r="A19" s="3" t="s">
        <v>14</v>
      </c>
      <c r="B19" s="76" t="s">
        <v>13</v>
      </c>
      <c r="C19" s="40">
        <f>4*265.5*5/2</f>
        <v>2655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18623.63802338723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132.90663113331524</v>
      </c>
    </row>
    <row r="22" spans="1:3" ht="15" customHeight="1">
      <c r="A22" s="3" t="s">
        <v>18</v>
      </c>
      <c r="B22" s="76" t="s">
        <v>154</v>
      </c>
      <c r="C22" s="40">
        <f>3941*0.16*1.45*2.1*1.22*12/2</f>
        <v>14054.804064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55895.879590314435</v>
      </c>
    </row>
    <row r="24" spans="1:3" s="7" customFormat="1" ht="15" customHeight="1">
      <c r="A24" s="3" t="s">
        <v>24</v>
      </c>
      <c r="B24" s="4" t="s">
        <v>25</v>
      </c>
      <c r="C24" s="40">
        <f>0.82*B7*12+B7*'общие данные '!C8/'общие данные '!B1/2</f>
        <v>15539.576826392271</v>
      </c>
    </row>
    <row r="25" spans="1:3" s="7" customFormat="1" ht="15" customHeight="1">
      <c r="A25" s="3" t="s">
        <v>26</v>
      </c>
      <c r="B25" s="4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147537.44431922724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21220</v>
      </c>
    </row>
    <row r="30" spans="1:3" ht="15" customHeight="1">
      <c r="A30" s="3" t="s">
        <v>156</v>
      </c>
      <c r="B30" s="76" t="s">
        <v>13</v>
      </c>
      <c r="C30" s="40">
        <v>9061</v>
      </c>
    </row>
    <row r="31" spans="1:3" ht="15" customHeight="1">
      <c r="A31" s="3" t="s">
        <v>175</v>
      </c>
      <c r="B31" s="76" t="s">
        <v>13</v>
      </c>
      <c r="C31" s="40"/>
    </row>
    <row r="32" spans="1:3" ht="15" customHeight="1">
      <c r="A32" s="3" t="s">
        <v>159</v>
      </c>
      <c r="B32" s="76" t="s">
        <v>13</v>
      </c>
      <c r="C32" s="40">
        <v>846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</f>
        <v>10222.59837832051</v>
      </c>
    </row>
    <row r="35" spans="1:3" ht="15" customHeight="1">
      <c r="A35" s="3" t="s">
        <v>162</v>
      </c>
      <c r="B35" s="76" t="s">
        <v>13</v>
      </c>
      <c r="C35" s="40">
        <f>175*5</f>
        <v>875</v>
      </c>
    </row>
    <row r="36" spans="1:3" ht="15" customHeight="1">
      <c r="A36" s="3" t="s">
        <v>39</v>
      </c>
      <c r="B36" s="76" t="s">
        <v>13</v>
      </c>
      <c r="C36" s="40">
        <v>4128</v>
      </c>
    </row>
    <row r="37" spans="1:3" ht="15" customHeight="1">
      <c r="A37" s="3" t="s">
        <v>42</v>
      </c>
      <c r="B37" s="76" t="s">
        <v>13</v>
      </c>
      <c r="C37" s="40">
        <v>12402</v>
      </c>
    </row>
    <row r="38" spans="1:3" ht="15" customHeight="1">
      <c r="A38" s="3" t="s">
        <v>44</v>
      </c>
      <c r="B38" s="76" t="s">
        <v>13</v>
      </c>
      <c r="C38" s="40">
        <v>7450</v>
      </c>
    </row>
    <row r="39" spans="1:3" ht="21.75" customHeight="1">
      <c r="A39" s="3" t="s">
        <v>46</v>
      </c>
      <c r="B39" s="76" t="s">
        <v>47</v>
      </c>
      <c r="C39" s="40">
        <v>6350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f>27*5+49*5</f>
        <v>380</v>
      </c>
    </row>
    <row r="43" spans="1:3" ht="15" customHeight="1">
      <c r="A43" s="3" t="s">
        <v>164</v>
      </c>
      <c r="B43" s="76" t="s">
        <v>13</v>
      </c>
      <c r="C43" s="40">
        <v>16368</v>
      </c>
    </row>
    <row r="44" spans="1:3" ht="15" customHeight="1">
      <c r="A44" s="5" t="s">
        <v>27</v>
      </c>
      <c r="B44" s="5"/>
      <c r="C44" s="41">
        <f>SUM(C29:C43)</f>
        <v>98152.598378320516</v>
      </c>
    </row>
    <row r="45" spans="1:3" ht="15" customHeight="1">
      <c r="A45" s="42" t="s">
        <v>54</v>
      </c>
      <c r="B45" s="42"/>
      <c r="C45" s="43">
        <f>C26+C44</f>
        <v>245690.04269754776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>
      <selection activeCell="B13" sqref="B10:B13"/>
    </sheetView>
  </sheetViews>
  <sheetFormatPr defaultRowHeight="15"/>
  <cols>
    <col min="1" max="1" width="66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120</v>
      </c>
    </row>
    <row r="6" spans="1:3">
      <c r="A6" s="33"/>
    </row>
    <row r="7" spans="1:3">
      <c r="A7" s="34" t="s">
        <v>111</v>
      </c>
      <c r="B7" s="38">
        <f>площади!F16</f>
        <v>1137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3941*0.86*1.45*2.1*1.22*12*0.75/2</f>
        <v>56658.428882999993</v>
      </c>
    </row>
    <row r="18" spans="1:3" ht="15" customHeight="1">
      <c r="A18" s="3" t="s">
        <v>12</v>
      </c>
      <c r="B18" s="76" t="s">
        <v>13</v>
      </c>
      <c r="C18" s="40">
        <f>0.07*B7*5/2</f>
        <v>198.97500000000002</v>
      </c>
    </row>
    <row r="19" spans="1:3" ht="15" customHeight="1">
      <c r="A19" s="3" t="s">
        <v>14</v>
      </c>
      <c r="B19" s="76" t="s">
        <v>13</v>
      </c>
      <c r="C19" s="40">
        <f>4*1286*2/2</f>
        <v>5144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16247.277244372963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115.94785513587004</v>
      </c>
    </row>
    <row r="22" spans="1:3" ht="15" customHeight="1">
      <c r="A22" s="3" t="s">
        <v>18</v>
      </c>
      <c r="B22" s="76" t="s">
        <v>154</v>
      </c>
      <c r="C22" s="40">
        <f>3941*0.12*1.45*2.1*1.22*12</f>
        <v>21082.206095999998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48763.61167358821</v>
      </c>
    </row>
    <row r="24" spans="1:3" s="7" customFormat="1" ht="15" customHeight="1">
      <c r="A24" s="3" t="s">
        <v>24</v>
      </c>
      <c r="B24" s="4" t="s">
        <v>25</v>
      </c>
      <c r="C24" s="40">
        <f>0.82*B7*12/2</f>
        <v>5594.0399999999991</v>
      </c>
    </row>
    <row r="25" spans="1:3" s="7" customFormat="1" ht="15" customHeight="1">
      <c r="A25" s="3" t="s">
        <v>26</v>
      </c>
      <c r="B25" s="4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153804.48675209706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23450</v>
      </c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175</v>
      </c>
      <c r="B31" s="76" t="s">
        <v>13</v>
      </c>
      <c r="C31" s="40">
        <v>7300</v>
      </c>
    </row>
    <row r="32" spans="1:3" ht="15" customHeight="1">
      <c r="A32" s="3" t="s">
        <v>159</v>
      </c>
      <c r="B32" s="76" t="s">
        <v>13</v>
      </c>
      <c r="C32" s="40">
        <v>942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</f>
        <v>8918.2032963633992</v>
      </c>
    </row>
    <row r="35" spans="1:3" ht="15" customHeight="1">
      <c r="A35" s="3" t="s">
        <v>162</v>
      </c>
      <c r="B35" s="76" t="s">
        <v>13</v>
      </c>
      <c r="C35" s="40">
        <v>15038</v>
      </c>
    </row>
    <row r="36" spans="1:3" ht="15" customHeight="1">
      <c r="A36" s="3" t="s">
        <v>39</v>
      </c>
      <c r="B36" s="76" t="s">
        <v>13</v>
      </c>
      <c r="C36" s="40">
        <v>4128</v>
      </c>
    </row>
    <row r="37" spans="1:3" ht="15" customHeight="1">
      <c r="A37" s="3" t="s">
        <v>42</v>
      </c>
      <c r="B37" s="76" t="s">
        <v>13</v>
      </c>
      <c r="C37" s="40">
        <v>12647</v>
      </c>
    </row>
    <row r="38" spans="1:3" ht="15" customHeight="1">
      <c r="A38" s="3" t="s">
        <v>44</v>
      </c>
      <c r="B38" s="76" t="s">
        <v>13</v>
      </c>
      <c r="C38" s="40">
        <v>7575</v>
      </c>
    </row>
    <row r="39" spans="1:3" ht="25.5" customHeight="1">
      <c r="A39" s="3" t="s">
        <v>46</v>
      </c>
      <c r="B39" s="76" t="s">
        <v>47</v>
      </c>
      <c r="C39" s="40">
        <v>6275</v>
      </c>
    </row>
    <row r="40" spans="1:3" ht="15" customHeight="1">
      <c r="A40" s="3" t="s">
        <v>48</v>
      </c>
      <c r="B40" s="76" t="s">
        <v>161</v>
      </c>
      <c r="C40" s="40">
        <v>4250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f>27*3+49*3</f>
        <v>228</v>
      </c>
    </row>
    <row r="43" spans="1:3" ht="15" customHeight="1">
      <c r="A43" s="3" t="s">
        <v>164</v>
      </c>
      <c r="B43" s="76" t="s">
        <v>13</v>
      </c>
      <c r="C43" s="40">
        <v>14368</v>
      </c>
    </row>
    <row r="44" spans="1:3" ht="15" customHeight="1">
      <c r="A44" s="5" t="s">
        <v>27</v>
      </c>
      <c r="B44" s="5"/>
      <c r="C44" s="41">
        <f>SUM(C29:C43)</f>
        <v>105119.2032963634</v>
      </c>
    </row>
    <row r="45" spans="1:3" ht="15" customHeight="1">
      <c r="A45" s="42" t="s">
        <v>54</v>
      </c>
      <c r="B45" s="42"/>
      <c r="C45" s="43">
        <f>C44+C26</f>
        <v>258923.69004846044</v>
      </c>
    </row>
    <row r="46" spans="1:3" ht="15" customHeight="1">
      <c r="A46" s="77"/>
      <c r="C46" s="8"/>
    </row>
    <row r="47" spans="1:3" ht="15" customHeight="1">
      <c r="A47" s="127" t="s">
        <v>201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7" workbookViewId="0">
      <selection activeCell="C5" sqref="C5"/>
    </sheetView>
  </sheetViews>
  <sheetFormatPr defaultRowHeight="15"/>
  <cols>
    <col min="1" max="1" width="65.425781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  <c r="B2" s="124" t="s">
        <v>202</v>
      </c>
    </row>
    <row r="3" spans="1:3">
      <c r="A3" s="32" t="s">
        <v>1</v>
      </c>
    </row>
    <row r="4" spans="1:3">
      <c r="A4" s="32" t="s">
        <v>56</v>
      </c>
    </row>
    <row r="5" spans="1:3">
      <c r="A5" s="32" t="s">
        <v>121</v>
      </c>
    </row>
    <row r="6" spans="1:3">
      <c r="A6" s="33"/>
    </row>
    <row r="7" spans="1:3">
      <c r="A7" s="34" t="s">
        <v>111</v>
      </c>
      <c r="B7" s="38">
        <f>площади!F17</f>
        <v>697.3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59</v>
      </c>
      <c r="B10" s="39">
        <v>28763.01</v>
      </c>
    </row>
    <row r="11" spans="1:3" ht="15" customHeight="1">
      <c r="A11" s="5" t="s">
        <v>4</v>
      </c>
      <c r="B11" s="39">
        <v>184506</v>
      </c>
    </row>
    <row r="12" spans="1:3" ht="15" customHeight="1">
      <c r="A12" s="5" t="s">
        <v>5</v>
      </c>
      <c r="B12" s="39">
        <v>163222.1</v>
      </c>
    </row>
    <row r="13" spans="1:3" ht="15" customHeight="1">
      <c r="A13" s="5" t="s">
        <v>60</v>
      </c>
      <c r="B13" s="39">
        <v>50046.91</v>
      </c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3941*0.1*1.45*2.1*1.22*12</f>
        <v>17568.505080000003</v>
      </c>
    </row>
    <row r="18" spans="1:3" ht="15" customHeight="1">
      <c r="A18" s="3" t="s">
        <v>12</v>
      </c>
      <c r="B18" s="76" t="s">
        <v>13</v>
      </c>
      <c r="C18" s="40">
        <f>0.07*B7*5</f>
        <v>244.05500000000001</v>
      </c>
    </row>
    <row r="19" spans="1:3" ht="15" customHeight="1">
      <c r="A19" s="3" t="s">
        <v>14</v>
      </c>
      <c r="B19" s="76" t="s">
        <v>13</v>
      </c>
      <c r="C19" s="40">
        <f>4*274.6*5</f>
        <v>5492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</f>
        <v>19928.278667548402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</f>
        <v>142.21713172601966</v>
      </c>
    </row>
    <row r="22" spans="1:3" ht="15" customHeight="1">
      <c r="A22" s="3" t="s">
        <v>18</v>
      </c>
      <c r="B22" s="76" t="s">
        <v>154</v>
      </c>
      <c r="C22" s="40">
        <f>3941*0.17*1.45*2.1*1.22*12</f>
        <v>29866.458635999999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'!B1*0.65</f>
        <v>38877.507780115193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</f>
        <v>9766.7379087598129</v>
      </c>
    </row>
    <row r="25" spans="1:3" s="7" customFormat="1" ht="15" customHeight="1">
      <c r="A25" s="3" t="s">
        <v>26</v>
      </c>
      <c r="B25" s="76" t="s">
        <v>25</v>
      </c>
      <c r="C25" s="40">
        <v>16650</v>
      </c>
    </row>
    <row r="26" spans="1:3" s="7" customFormat="1" ht="15" customHeight="1">
      <c r="A26" s="5" t="s">
        <v>27</v>
      </c>
      <c r="B26" s="3"/>
      <c r="C26" s="40">
        <f>SUM(C17:C25)</f>
        <v>138535.76020414941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>
        <v>4366</v>
      </c>
    </row>
    <row r="31" spans="1:3" ht="15" customHeight="1">
      <c r="A31" s="3" t="s">
        <v>109</v>
      </c>
      <c r="B31" s="76" t="s">
        <v>13</v>
      </c>
      <c r="C31" s="40">
        <v>27459</v>
      </c>
    </row>
    <row r="32" spans="1:3" ht="15" customHeight="1">
      <c r="A32" s="3" t="s">
        <v>159</v>
      </c>
      <c r="B32" s="76" t="s">
        <v>13</v>
      </c>
      <c r="C32" s="40">
        <v>704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'!B1+8404</f>
        <v>13873.360737514686</v>
      </c>
    </row>
    <row r="35" spans="1:3" ht="15" customHeight="1">
      <c r="A35" s="3" t="s">
        <v>162</v>
      </c>
      <c r="B35" s="76" t="s">
        <v>13</v>
      </c>
      <c r="C35" s="40">
        <v>1750</v>
      </c>
    </row>
    <row r="36" spans="1:3" ht="15" customHeight="1">
      <c r="A36" s="3" t="s">
        <v>39</v>
      </c>
      <c r="B36" s="76" t="s">
        <v>13</v>
      </c>
      <c r="C36" s="40">
        <v>2838</v>
      </c>
    </row>
    <row r="37" spans="1:3" ht="15" customHeight="1">
      <c r="A37" s="3" t="s">
        <v>42</v>
      </c>
      <c r="B37" s="76" t="s">
        <v>13</v>
      </c>
      <c r="C37" s="40">
        <v>38122</v>
      </c>
    </row>
    <row r="38" spans="1:3" ht="15" customHeight="1">
      <c r="A38" s="3" t="s">
        <v>44</v>
      </c>
      <c r="B38" s="76" t="s">
        <v>13</v>
      </c>
      <c r="C38" s="40">
        <v>18950</v>
      </c>
    </row>
    <row r="39" spans="1:3" ht="21" customHeight="1">
      <c r="A39" s="3" t="s">
        <v>46</v>
      </c>
      <c r="B39" s="76" t="s">
        <v>47</v>
      </c>
      <c r="C39" s="40">
        <v>12450</v>
      </c>
    </row>
    <row r="40" spans="1:3" ht="15" customHeight="1">
      <c r="A40" s="3" t="s">
        <v>48</v>
      </c>
      <c r="B40" s="76" t="s">
        <v>161</v>
      </c>
      <c r="C40" s="40">
        <v>4350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160</v>
      </c>
    </row>
    <row r="43" spans="1:3" ht="15" customHeight="1">
      <c r="A43" s="3" t="s">
        <v>164</v>
      </c>
      <c r="B43" s="76" t="s">
        <v>13</v>
      </c>
      <c r="C43" s="40">
        <v>5912</v>
      </c>
    </row>
    <row r="44" spans="1:3" ht="15" customHeight="1">
      <c r="A44" s="5" t="s">
        <v>27</v>
      </c>
      <c r="B44" s="5"/>
      <c r="C44" s="41">
        <f>SUM(C29:C43)</f>
        <v>130934.36073751468</v>
      </c>
    </row>
    <row r="45" spans="1:3" ht="15" customHeight="1">
      <c r="A45" s="42" t="s">
        <v>54</v>
      </c>
      <c r="B45" s="42"/>
      <c r="C45" s="43">
        <f>C26+C44</f>
        <v>269470.12094166409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13" workbookViewId="0">
      <selection activeCell="B13" sqref="B10:B13"/>
    </sheetView>
  </sheetViews>
  <sheetFormatPr defaultRowHeight="15"/>
  <cols>
    <col min="1" max="1" width="65.8554687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122</v>
      </c>
    </row>
    <row r="6" spans="1:3">
      <c r="A6" s="33"/>
    </row>
    <row r="7" spans="1:3">
      <c r="A7" s="34" t="s">
        <v>111</v>
      </c>
      <c r="B7" s="38">
        <v>2446.8000000000002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3941*0.33*1.45*2.1*1.22*12/2</f>
        <v>28988.033382000001</v>
      </c>
    </row>
    <row r="18" spans="1:3" ht="15" customHeight="1">
      <c r="A18" s="3" t="s">
        <v>12</v>
      </c>
      <c r="B18" s="76" t="s">
        <v>13</v>
      </c>
      <c r="C18" s="40">
        <f>0.07*B7*5/2</f>
        <v>428.19000000000011</v>
      </c>
    </row>
    <row r="19" spans="1:3" ht="15" customHeight="1">
      <c r="A19" s="3" t="s">
        <v>14</v>
      </c>
      <c r="B19" s="76" t="s">
        <v>13</v>
      </c>
      <c r="C19" s="40">
        <f>4*476.1*5/2</f>
        <v>4761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34963.797679447467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249.51733680426284</v>
      </c>
    </row>
    <row r="22" spans="1:3" ht="15" customHeight="1">
      <c r="A22" s="3" t="s">
        <v>18</v>
      </c>
      <c r="B22" s="76" t="s">
        <v>154</v>
      </c>
      <c r="C22" s="40">
        <f>3941*0.37*1.45*2.1*1.22*12/2</f>
        <v>32501.734398000004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104938.26301049748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29173.817677293497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236004.35348404269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>
        <v>47180</v>
      </c>
    </row>
    <row r="31" spans="1:3" ht="15" customHeight="1">
      <c r="A31" s="3" t="s">
        <v>175</v>
      </c>
      <c r="B31" s="76" t="s">
        <v>13</v>
      </c>
      <c r="C31" s="40">
        <v>5524</v>
      </c>
    </row>
    <row r="32" spans="1:3" ht="15" customHeight="1">
      <c r="A32" s="3" t="s">
        <v>159</v>
      </c>
      <c r="B32" s="76" t="s">
        <v>13</v>
      </c>
      <c r="C32" s="40">
        <v>1061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'!B1+9277</f>
        <v>28468.78524673876</v>
      </c>
    </row>
    <row r="35" spans="1:3" ht="15" customHeight="1">
      <c r="A35" s="3" t="s">
        <v>162</v>
      </c>
      <c r="B35" s="76" t="s">
        <v>13</v>
      </c>
      <c r="C35" s="40">
        <v>30300</v>
      </c>
    </row>
    <row r="36" spans="1:3" ht="15" customHeight="1">
      <c r="A36" s="3" t="s">
        <v>39</v>
      </c>
      <c r="B36" s="76" t="s">
        <v>13</v>
      </c>
      <c r="C36" s="40">
        <v>9546</v>
      </c>
    </row>
    <row r="37" spans="1:3" ht="15" customHeight="1">
      <c r="A37" s="3" t="s">
        <v>42</v>
      </c>
      <c r="B37" s="76" t="s">
        <v>13</v>
      </c>
      <c r="C37" s="40">
        <v>21254</v>
      </c>
    </row>
    <row r="38" spans="1:3" ht="15" customHeight="1">
      <c r="A38" s="3" t="s">
        <v>44</v>
      </c>
      <c r="B38" s="76" t="s">
        <v>13</v>
      </c>
      <c r="C38" s="40">
        <v>12150</v>
      </c>
    </row>
    <row r="39" spans="1:3" ht="21.75" customHeight="1">
      <c r="A39" s="3" t="s">
        <v>46</v>
      </c>
      <c r="B39" s="76" t="s">
        <v>47</v>
      </c>
      <c r="C39" s="40">
        <v>9750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569</v>
      </c>
    </row>
    <row r="43" spans="1:3" ht="15" customHeight="1">
      <c r="A43" s="3" t="s">
        <v>164</v>
      </c>
      <c r="B43" s="76" t="s">
        <v>13</v>
      </c>
      <c r="C43" s="40">
        <v>28192</v>
      </c>
    </row>
    <row r="44" spans="1:3" ht="15" customHeight="1">
      <c r="A44" s="5" t="s">
        <v>27</v>
      </c>
      <c r="B44" s="5"/>
      <c r="C44" s="41">
        <f>SUM(C29:C43)</f>
        <v>202844.78524673876</v>
      </c>
    </row>
    <row r="45" spans="1:3" ht="15" customHeight="1">
      <c r="A45" s="42" t="s">
        <v>54</v>
      </c>
      <c r="B45" s="42"/>
      <c r="C45" s="43">
        <f>C26+C44</f>
        <v>438849.13873078144</v>
      </c>
    </row>
    <row r="46" spans="1:3" ht="15" customHeight="1">
      <c r="A46" s="77"/>
      <c r="C46" s="8"/>
    </row>
    <row r="47" spans="1:3" ht="15" customHeight="1">
      <c r="A47" s="127" t="s">
        <v>203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13" workbookViewId="0">
      <selection activeCell="B13" sqref="B10:B13"/>
    </sheetView>
  </sheetViews>
  <sheetFormatPr defaultRowHeight="15"/>
  <cols>
    <col min="1" max="1" width="66.140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123</v>
      </c>
    </row>
    <row r="6" spans="1:3">
      <c r="A6" s="33"/>
    </row>
    <row r="7" spans="1:3">
      <c r="A7" s="34" t="s">
        <v>111</v>
      </c>
      <c r="B7" s="38">
        <v>1688.2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3941*0.22*1.45*2.1*1.22*12/2</f>
        <v>19325.355587999999</v>
      </c>
    </row>
    <row r="18" spans="1:3" ht="15" customHeight="1">
      <c r="A18" s="3" t="s">
        <v>12</v>
      </c>
      <c r="B18" s="76" t="s">
        <v>13</v>
      </c>
      <c r="C18" s="40">
        <f>0.07*B7*5/2</f>
        <v>295.43500000000006</v>
      </c>
    </row>
    <row r="19" spans="1:3" ht="15" customHeight="1">
      <c r="A19" s="3" t="s">
        <v>14</v>
      </c>
      <c r="B19" s="76" t="s">
        <v>13</v>
      </c>
      <c r="C19" s="40">
        <f>4*669.5*5</f>
        <v>13390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24123.705755453328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172.15758051044489</v>
      </c>
    </row>
    <row r="22" spans="1:3" ht="15" customHeight="1">
      <c r="A22" s="3" t="s">
        <v>18</v>
      </c>
      <c r="B22" s="76" t="s">
        <v>154</v>
      </c>
      <c r="C22" s="40">
        <f>3941*0.2*1.45*2.1*1.22*12/2</f>
        <v>17568.505080000003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72403.455784829916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20128.837257972405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167407.45204676609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32960</v>
      </c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175</v>
      </c>
      <c r="B31" s="76" t="s">
        <v>13</v>
      </c>
      <c r="C31" s="40">
        <v>6371</v>
      </c>
    </row>
    <row r="32" spans="1:3" ht="15" customHeight="1">
      <c r="A32" s="3" t="s">
        <v>159</v>
      </c>
      <c r="B32" s="76" t="s">
        <v>13</v>
      </c>
      <c r="C32" s="40">
        <f>1024+7110</f>
        <v>8134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1613</v>
      </c>
    </row>
    <row r="35" spans="1:3" ht="15" customHeight="1">
      <c r="A35" s="3" t="s">
        <v>162</v>
      </c>
      <c r="B35" s="76" t="s">
        <v>13</v>
      </c>
      <c r="C35" s="40">
        <v>12006</v>
      </c>
    </row>
    <row r="36" spans="1:3" ht="15" customHeight="1">
      <c r="A36" s="3" t="s">
        <v>39</v>
      </c>
      <c r="B36" s="76" t="s">
        <v>13</v>
      </c>
      <c r="C36" s="40">
        <v>8256</v>
      </c>
    </row>
    <row r="37" spans="1:3" ht="15" customHeight="1">
      <c r="A37" s="3" t="s">
        <v>42</v>
      </c>
      <c r="B37" s="76" t="s">
        <v>13</v>
      </c>
      <c r="C37" s="40">
        <v>18171</v>
      </c>
    </row>
    <row r="38" spans="1:3" ht="15" customHeight="1">
      <c r="A38" s="3" t="s">
        <v>44</v>
      </c>
      <c r="B38" s="76" t="s">
        <v>13</v>
      </c>
      <c r="C38" s="40">
        <v>13975</v>
      </c>
    </row>
    <row r="39" spans="1:3" ht="19.5" customHeight="1">
      <c r="A39" s="3" t="s">
        <v>46</v>
      </c>
      <c r="B39" s="76" t="s">
        <v>47</v>
      </c>
      <c r="C39" s="40">
        <v>6595</v>
      </c>
    </row>
    <row r="40" spans="1:3" ht="15" customHeight="1">
      <c r="A40" s="3" t="s">
        <v>48</v>
      </c>
      <c r="B40" s="76" t="s">
        <v>161</v>
      </c>
      <c r="C40" s="40">
        <v>4850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1183</v>
      </c>
    </row>
    <row r="43" spans="1:3" ht="15" customHeight="1">
      <c r="A43" s="3" t="s">
        <v>164</v>
      </c>
      <c r="B43" s="76" t="s">
        <v>13</v>
      </c>
      <c r="C43" s="40">
        <v>13077</v>
      </c>
    </row>
    <row r="44" spans="1:3" ht="15" customHeight="1">
      <c r="A44" s="5" t="s">
        <v>27</v>
      </c>
      <c r="B44" s="5"/>
      <c r="C44" s="41">
        <f>SUM(C29:C43)</f>
        <v>127191</v>
      </c>
    </row>
    <row r="45" spans="1:3" ht="15" customHeight="1">
      <c r="A45" s="42" t="s">
        <v>54</v>
      </c>
      <c r="B45" s="42"/>
      <c r="C45" s="43">
        <f>C44+C26</f>
        <v>294598.45204676606</v>
      </c>
    </row>
    <row r="46" spans="1:3" ht="15" customHeight="1">
      <c r="A46" s="77"/>
      <c r="C46" s="8"/>
    </row>
    <row r="47" spans="1:3" ht="15" customHeight="1">
      <c r="A47" s="127" t="s">
        <v>204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>
      <selection activeCell="B2" sqref="B2"/>
    </sheetView>
  </sheetViews>
  <sheetFormatPr defaultRowHeight="15"/>
  <cols>
    <col min="1" max="1" width="66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  <c r="B2" s="124" t="s">
        <v>205</v>
      </c>
    </row>
    <row r="3" spans="1:3">
      <c r="A3" s="32" t="s">
        <v>1</v>
      </c>
    </row>
    <row r="4" spans="1:3">
      <c r="A4" s="32" t="s">
        <v>56</v>
      </c>
    </row>
    <row r="5" spans="1:3">
      <c r="A5" s="32" t="s">
        <v>124</v>
      </c>
    </row>
    <row r="6" spans="1:3">
      <c r="A6" s="33"/>
    </row>
    <row r="7" spans="1:3">
      <c r="A7" s="34" t="s">
        <v>111</v>
      </c>
      <c r="B7" s="38">
        <v>2018.7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59</v>
      </c>
      <c r="B10" s="39">
        <v>74797.64</v>
      </c>
    </row>
    <row r="11" spans="1:3" ht="15" customHeight="1">
      <c r="A11" s="5" t="s">
        <v>4</v>
      </c>
      <c r="B11" s="39">
        <v>533642.27</v>
      </c>
    </row>
    <row r="12" spans="1:3" ht="15" customHeight="1">
      <c r="A12" s="5" t="s">
        <v>5</v>
      </c>
      <c r="B12" s="39">
        <v>525165.84</v>
      </c>
    </row>
    <row r="13" spans="1:3" ht="15" customHeight="1">
      <c r="A13" s="5" t="s">
        <v>60</v>
      </c>
      <c r="B13" s="39">
        <v>83274.070000000007</v>
      </c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3941*0.32*1.45*2.1*1.22*12</f>
        <v>56219.216256</v>
      </c>
    </row>
    <row r="18" spans="1:3" ht="15" customHeight="1">
      <c r="A18" s="3" t="s">
        <v>12</v>
      </c>
      <c r="B18" s="76" t="s">
        <v>13</v>
      </c>
      <c r="C18" s="40">
        <f>0.07*B7*5</f>
        <v>706.54500000000007</v>
      </c>
    </row>
    <row r="19" spans="1:3" ht="15" customHeight="1">
      <c r="A19" s="3" t="s">
        <v>14</v>
      </c>
      <c r="B19" s="76" t="s">
        <v>13</v>
      </c>
      <c r="C19" s="40">
        <f>4*861.5*5</f>
        <v>17230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</f>
        <v>57692.83829941196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</f>
        <v>411.721961588005</v>
      </c>
    </row>
    <row r="22" spans="1:3" ht="15" customHeight="1">
      <c r="A22" s="3" t="s">
        <v>18</v>
      </c>
      <c r="B22" s="76" t="s">
        <v>154</v>
      </c>
      <c r="C22" s="40">
        <f>3941*0.23*1.45*2.1*1.22*12</f>
        <v>40407.561684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</f>
        <v>173155.85380030348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</f>
        <v>28274.937353238827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374098.67435454228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25920</v>
      </c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109</v>
      </c>
      <c r="B31" s="76" t="s">
        <v>13</v>
      </c>
      <c r="C31" s="40">
        <v>5016</v>
      </c>
    </row>
    <row r="32" spans="1:3" ht="15" customHeight="1">
      <c r="A32" s="3" t="s">
        <v>159</v>
      </c>
      <c r="B32" s="76" t="s">
        <v>13</v>
      </c>
      <c r="C32" s="40">
        <v>402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'!B1+20324</f>
        <v>36157.928754941771</v>
      </c>
    </row>
    <row r="35" spans="1:3" ht="15" customHeight="1">
      <c r="A35" s="3" t="s">
        <v>162</v>
      </c>
      <c r="B35" s="76" t="s">
        <v>13</v>
      </c>
      <c r="C35" s="40">
        <f>175*5</f>
        <v>875</v>
      </c>
    </row>
    <row r="36" spans="1:3" ht="15" customHeight="1">
      <c r="A36" s="3" t="s">
        <v>39</v>
      </c>
      <c r="B36" s="76" t="s">
        <v>13</v>
      </c>
      <c r="C36" s="40">
        <v>8514</v>
      </c>
    </row>
    <row r="37" spans="1:3" ht="15" customHeight="1">
      <c r="A37" s="3" t="s">
        <v>42</v>
      </c>
      <c r="B37" s="76" t="s">
        <v>13</v>
      </c>
      <c r="C37" s="40">
        <v>37975</v>
      </c>
    </row>
    <row r="38" spans="1:3" ht="15" customHeight="1">
      <c r="A38" s="3" t="s">
        <v>44</v>
      </c>
      <c r="B38" s="76" t="s">
        <v>13</v>
      </c>
      <c r="C38" s="40">
        <v>24875</v>
      </c>
    </row>
    <row r="39" spans="1:3" ht="21.75" customHeight="1">
      <c r="A39" s="3" t="s">
        <v>46</v>
      </c>
      <c r="B39" s="76" t="s">
        <v>47</v>
      </c>
      <c r="C39" s="40">
        <v>23875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760</v>
      </c>
    </row>
    <row r="43" spans="1:3" ht="15" customHeight="1">
      <c r="A43" s="3" t="s">
        <v>164</v>
      </c>
      <c r="B43" s="76" t="s">
        <v>13</v>
      </c>
      <c r="C43" s="40">
        <v>4095</v>
      </c>
    </row>
    <row r="44" spans="1:3" ht="15" customHeight="1">
      <c r="A44" s="5" t="s">
        <v>27</v>
      </c>
      <c r="B44" s="5"/>
      <c r="C44" s="41">
        <f>SUM(C29:C43)</f>
        <v>177314.92875494176</v>
      </c>
    </row>
    <row r="45" spans="1:3" ht="15" customHeight="1">
      <c r="A45" s="42" t="s">
        <v>54</v>
      </c>
      <c r="B45" s="42"/>
      <c r="C45" s="43">
        <f>C44+C26</f>
        <v>551413.60310948407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28" workbookViewId="0">
      <selection activeCell="C32" sqref="C32"/>
    </sheetView>
  </sheetViews>
  <sheetFormatPr defaultRowHeight="15"/>
  <cols>
    <col min="1" max="1" width="65.8554687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125</v>
      </c>
    </row>
    <row r="6" spans="1:3">
      <c r="A6" s="33"/>
    </row>
    <row r="7" spans="1:3">
      <c r="A7" s="34" t="s">
        <v>111</v>
      </c>
      <c r="B7" s="38">
        <v>4149.6000000000004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3941*0.49*1.45*2.1*1.22*12/2</f>
        <v>43042.837445999998</v>
      </c>
    </row>
    <row r="18" spans="1:3" ht="15" customHeight="1">
      <c r="A18" s="3" t="s">
        <v>12</v>
      </c>
      <c r="B18" s="76" t="s">
        <v>13</v>
      </c>
      <c r="C18" s="40">
        <f>0.07*B7*5/2</f>
        <v>726.18000000000006</v>
      </c>
    </row>
    <row r="19" spans="1:3" ht="15" customHeight="1">
      <c r="A19" s="3" t="s">
        <v>14</v>
      </c>
      <c r="B19" s="76" t="s">
        <v>13</v>
      </c>
      <c r="C19" s="40">
        <f>4*1472*5/2</f>
        <v>14720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59296.131621152199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423.16378159349722</v>
      </c>
    </row>
    <row r="22" spans="1:3" ht="15" customHeight="1">
      <c r="A22" s="3" t="s">
        <v>18</v>
      </c>
      <c r="B22" s="76" t="s">
        <v>154</v>
      </c>
      <c r="C22" s="40">
        <f>3941*0.53*1.45*2.1*1.22*12/2</f>
        <v>46556.538462000004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177967.88302614042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49476.734442413392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392209.46877929947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>
        <v>897</v>
      </c>
    </row>
    <row r="31" spans="1:3" ht="15" customHeight="1">
      <c r="A31" s="3" t="s">
        <v>175</v>
      </c>
      <c r="B31" s="76" t="s">
        <v>13</v>
      </c>
      <c r="C31" s="40">
        <v>605068</v>
      </c>
    </row>
    <row r="32" spans="1:3" ht="15" customHeight="1">
      <c r="A32" s="3" t="s">
        <v>159</v>
      </c>
      <c r="B32" s="76" t="s">
        <v>13</v>
      </c>
      <c r="C32" s="40">
        <v>111712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5226</v>
      </c>
    </row>
    <row r="35" spans="1:3" ht="15" customHeight="1">
      <c r="A35" s="3" t="s">
        <v>162</v>
      </c>
      <c r="B35" s="76" t="s">
        <v>13</v>
      </c>
      <c r="C35" s="40">
        <v>7704</v>
      </c>
    </row>
    <row r="36" spans="1:3" ht="15" customHeight="1">
      <c r="A36" s="3" t="s">
        <v>39</v>
      </c>
      <c r="B36" s="76" t="s">
        <v>13</v>
      </c>
      <c r="C36" s="40">
        <v>14706</v>
      </c>
    </row>
    <row r="37" spans="1:3" ht="15" customHeight="1">
      <c r="A37" s="3" t="s">
        <v>42</v>
      </c>
      <c r="B37" s="76" t="s">
        <v>13</v>
      </c>
      <c r="C37" s="40">
        <v>23798</v>
      </c>
    </row>
    <row r="38" spans="1:3" ht="15" customHeight="1">
      <c r="A38" s="3" t="s">
        <v>44</v>
      </c>
      <c r="B38" s="76" t="s">
        <v>13</v>
      </c>
      <c r="C38" s="40">
        <v>10050</v>
      </c>
    </row>
    <row r="39" spans="1:3" ht="25.5" customHeight="1">
      <c r="A39" s="3" t="s">
        <v>46</v>
      </c>
      <c r="B39" s="76" t="s">
        <v>47</v>
      </c>
      <c r="C39" s="40">
        <v>8450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864</v>
      </c>
    </row>
    <row r="43" spans="1:3" ht="15" customHeight="1">
      <c r="A43" s="3" t="s">
        <v>164</v>
      </c>
      <c r="B43" s="76" t="s">
        <v>13</v>
      </c>
      <c r="C43" s="40">
        <v>28652</v>
      </c>
    </row>
    <row r="44" spans="1:3" ht="15" customHeight="1">
      <c r="A44" s="5" t="s">
        <v>27</v>
      </c>
      <c r="B44" s="5"/>
      <c r="C44" s="41">
        <f>SUM(C29:C43)</f>
        <v>825977</v>
      </c>
    </row>
    <row r="45" spans="1:3" ht="15" customHeight="1">
      <c r="A45" s="42" t="s">
        <v>54</v>
      </c>
      <c r="B45" s="42"/>
      <c r="C45" s="43">
        <f>C26+C44</f>
        <v>1218186.4687792994</v>
      </c>
    </row>
    <row r="46" spans="1:3" ht="15" customHeight="1">
      <c r="A46" s="77"/>
      <c r="C46" s="8"/>
    </row>
    <row r="47" spans="1:3" ht="15" customHeight="1">
      <c r="A47" s="127" t="s">
        <v>206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4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31" workbookViewId="0">
      <selection activeCell="B13" sqref="B10:B13"/>
    </sheetView>
  </sheetViews>
  <sheetFormatPr defaultRowHeight="15"/>
  <cols>
    <col min="1" max="1" width="67.710937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126</v>
      </c>
    </row>
    <row r="6" spans="1:3">
      <c r="A6" s="33"/>
    </row>
    <row r="7" spans="1:3">
      <c r="A7" s="34" t="s">
        <v>111</v>
      </c>
      <c r="B7" s="38">
        <v>2742.9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60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3941*0.25*1.45*2.1*1.22*12/2</f>
        <v>21960.63135</v>
      </c>
    </row>
    <row r="18" spans="1:3" ht="15" customHeight="1">
      <c r="A18" s="3" t="s">
        <v>12</v>
      </c>
      <c r="B18" s="76" t="s">
        <v>13</v>
      </c>
      <c r="C18" s="40">
        <f>0.07*B7*5/2</f>
        <v>480.00750000000005</v>
      </c>
    </row>
    <row r="19" spans="1:3" ht="15" customHeight="1">
      <c r="A19" s="3" t="s">
        <v>14</v>
      </c>
      <c r="B19" s="76" t="s">
        <v>13</v>
      </c>
      <c r="C19" s="40">
        <f>4*644*5/2</f>
        <v>6440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39194.948771847492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279.71272810217943</v>
      </c>
    </row>
    <row r="22" spans="1:3" ht="15" customHeight="1">
      <c r="A22" s="3" t="s">
        <v>18</v>
      </c>
      <c r="B22" s="76" t="s">
        <v>154</v>
      </c>
      <c r="C22" s="40">
        <f>3941*0.35*1.45*2.1*1.22*12/2</f>
        <v>30744.883890000001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117637.38826691741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32704.293161291618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249441.86566815869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28700</v>
      </c>
    </row>
    <row r="30" spans="1:3" ht="15" customHeight="1">
      <c r="A30" s="3" t="s">
        <v>156</v>
      </c>
      <c r="B30" s="76" t="s">
        <v>13</v>
      </c>
      <c r="C30" s="40">
        <v>33728</v>
      </c>
    </row>
    <row r="31" spans="1:3" ht="15" customHeight="1">
      <c r="A31" s="3" t="s">
        <v>175</v>
      </c>
      <c r="B31" s="76" t="s">
        <v>13</v>
      </c>
      <c r="C31" s="40">
        <v>24502</v>
      </c>
    </row>
    <row r="32" spans="1:3" ht="15" customHeight="1">
      <c r="A32" s="3" t="s">
        <v>159</v>
      </c>
      <c r="B32" s="76" t="s">
        <v>13</v>
      </c>
      <c r="C32" s="40">
        <v>61061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62712</v>
      </c>
    </row>
    <row r="35" spans="1:3" ht="15" customHeight="1">
      <c r="A35" s="3" t="s">
        <v>162</v>
      </c>
      <c r="B35" s="76" t="s">
        <v>13</v>
      </c>
      <c r="C35" s="40">
        <v>47283</v>
      </c>
    </row>
    <row r="36" spans="1:3" ht="15" customHeight="1">
      <c r="A36" s="3" t="s">
        <v>39</v>
      </c>
      <c r="B36" s="76" t="s">
        <v>13</v>
      </c>
      <c r="C36" s="40">
        <v>10320</v>
      </c>
    </row>
    <row r="37" spans="1:3" ht="15" customHeight="1">
      <c r="A37" s="3" t="s">
        <v>42</v>
      </c>
      <c r="B37" s="76" t="s">
        <v>13</v>
      </c>
      <c r="C37" s="40">
        <v>20666</v>
      </c>
    </row>
    <row r="38" spans="1:3" ht="15" customHeight="1">
      <c r="A38" s="3" t="s">
        <v>44</v>
      </c>
      <c r="B38" s="76" t="s">
        <v>13</v>
      </c>
      <c r="C38" s="40">
        <v>7850</v>
      </c>
    </row>
    <row r="39" spans="1:3" ht="21.75" customHeight="1">
      <c r="A39" s="3" t="s">
        <v>46</v>
      </c>
      <c r="B39" s="76" t="s">
        <v>47</v>
      </c>
      <c r="C39" s="40">
        <v>6750</v>
      </c>
    </row>
    <row r="40" spans="1:3" ht="15" customHeight="1">
      <c r="A40" s="3" t="s">
        <v>48</v>
      </c>
      <c r="B40" s="76" t="s">
        <v>161</v>
      </c>
      <c r="C40" s="40">
        <v>7850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1338</v>
      </c>
    </row>
    <row r="43" spans="1:3" ht="15" customHeight="1">
      <c r="A43" s="3" t="s">
        <v>164</v>
      </c>
      <c r="B43" s="76" t="s">
        <v>13</v>
      </c>
      <c r="C43" s="40">
        <v>10920</v>
      </c>
    </row>
    <row r="44" spans="1:3" ht="15" customHeight="1">
      <c r="A44" s="5" t="s">
        <v>27</v>
      </c>
      <c r="B44" s="5"/>
      <c r="C44" s="41">
        <f>SUM(C29:C43)</f>
        <v>323680</v>
      </c>
    </row>
    <row r="45" spans="1:3" ht="15" customHeight="1">
      <c r="A45" s="42" t="s">
        <v>54</v>
      </c>
      <c r="B45" s="42"/>
      <c r="C45" s="43">
        <f>C26+C44</f>
        <v>573121.86566815875</v>
      </c>
    </row>
    <row r="46" spans="1:3" ht="15" customHeight="1">
      <c r="A46" s="77"/>
      <c r="C46" s="8"/>
    </row>
    <row r="47" spans="1:3" ht="15" customHeight="1">
      <c r="A47" s="127" t="s">
        <v>207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2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4" workbookViewId="0">
      <selection activeCell="B13" sqref="B10:B13"/>
    </sheetView>
  </sheetViews>
  <sheetFormatPr defaultRowHeight="15"/>
  <cols>
    <col min="1" max="1" width="66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127</v>
      </c>
    </row>
    <row r="6" spans="1:3">
      <c r="A6" s="33"/>
    </row>
    <row r="7" spans="1:3">
      <c r="A7" s="34" t="s">
        <v>111</v>
      </c>
      <c r="B7" s="38">
        <v>1004.3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3941*0.43*1.45*2.1*1.22*12/2</f>
        <v>37772.285921999995</v>
      </c>
    </row>
    <row r="18" spans="1:3" ht="15" customHeight="1">
      <c r="A18" s="3" t="s">
        <v>12</v>
      </c>
      <c r="B18" s="76" t="s">
        <v>13</v>
      </c>
      <c r="C18" s="40">
        <f>0.07*B7*5/2</f>
        <v>175.7525</v>
      </c>
    </row>
    <row r="19" spans="1:3" ht="15" customHeight="1">
      <c r="A19" s="3" t="s">
        <v>14</v>
      </c>
      <c r="B19" s="76" t="s">
        <v>13</v>
      </c>
      <c r="C19" s="40">
        <f>4*870*4/2</f>
        <v>6960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14351.04708577288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102.4155065197487</v>
      </c>
    </row>
    <row r="22" spans="1:3" ht="15" customHeight="1">
      <c r="A22" s="3" t="s">
        <v>18</v>
      </c>
      <c r="B22" s="76" t="s">
        <v>154</v>
      </c>
      <c r="C22" s="40">
        <v>27676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'!B1*0.75/2</f>
        <v>32304.28443521414</v>
      </c>
    </row>
    <row r="24" spans="1:3" s="7" customFormat="1" ht="15" customHeight="1">
      <c r="A24" s="3" t="s">
        <v>24</v>
      </c>
      <c r="B24" s="76" t="s">
        <v>25</v>
      </c>
      <c r="C24" s="40">
        <f>0.82*B7*12/2</f>
        <v>4941.1559999999999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124282.94144950676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14800</v>
      </c>
    </row>
    <row r="30" spans="1:3" ht="15" customHeight="1">
      <c r="A30" s="3" t="s">
        <v>156</v>
      </c>
      <c r="B30" s="76" t="s">
        <v>13</v>
      </c>
      <c r="C30" s="40">
        <v>3200</v>
      </c>
    </row>
    <row r="31" spans="1:3" ht="15" customHeight="1">
      <c r="A31" s="3" t="s">
        <v>175</v>
      </c>
      <c r="B31" s="76" t="s">
        <v>13</v>
      </c>
      <c r="C31" s="40">
        <v>909</v>
      </c>
    </row>
    <row r="32" spans="1:3" ht="15" customHeight="1">
      <c r="A32" s="3" t="s">
        <v>159</v>
      </c>
      <c r="B32" s="76" t="s">
        <v>13</v>
      </c>
      <c r="C32" s="40">
        <v>742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9037</v>
      </c>
    </row>
    <row r="35" spans="1:3" ht="15" customHeight="1">
      <c r="A35" s="3" t="s">
        <v>162</v>
      </c>
      <c r="B35" s="76" t="s">
        <v>13</v>
      </c>
      <c r="C35" s="40">
        <v>9394</v>
      </c>
    </row>
    <row r="36" spans="1:3" ht="15" customHeight="1">
      <c r="A36" s="3" t="s">
        <v>39</v>
      </c>
      <c r="B36" s="76" t="s">
        <v>13</v>
      </c>
      <c r="C36" s="40">
        <v>4128</v>
      </c>
    </row>
    <row r="37" spans="1:3" ht="15" customHeight="1">
      <c r="A37" s="3" t="s">
        <v>42</v>
      </c>
      <c r="B37" s="76" t="s">
        <v>13</v>
      </c>
      <c r="C37" s="40">
        <v>7647</v>
      </c>
    </row>
    <row r="38" spans="1:3" ht="15" customHeight="1">
      <c r="A38" s="3" t="s">
        <v>44</v>
      </c>
      <c r="B38" s="76" t="s">
        <v>13</v>
      </c>
      <c r="C38" s="40">
        <v>5575</v>
      </c>
    </row>
    <row r="39" spans="1:3" ht="24.75" customHeight="1">
      <c r="A39" s="3" t="s">
        <v>46</v>
      </c>
      <c r="B39" s="76" t="s">
        <v>47</v>
      </c>
      <c r="C39" s="40">
        <v>5788</v>
      </c>
    </row>
    <row r="40" spans="1:3" ht="15" customHeight="1">
      <c r="A40" s="3" t="s">
        <v>48</v>
      </c>
      <c r="B40" s="76" t="s">
        <v>161</v>
      </c>
      <c r="C40" s="40">
        <v>3850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f>27*8+49*8</f>
        <v>608</v>
      </c>
    </row>
    <row r="43" spans="1:3" ht="15" customHeight="1">
      <c r="A43" s="3" t="s">
        <v>164</v>
      </c>
      <c r="B43" s="76" t="s">
        <v>13</v>
      </c>
      <c r="C43" s="40">
        <v>2368</v>
      </c>
    </row>
    <row r="44" spans="1:3" ht="15" customHeight="1">
      <c r="A44" s="5" t="s">
        <v>27</v>
      </c>
      <c r="B44" s="5"/>
      <c r="C44" s="41">
        <f>SUM(C29:C43)</f>
        <v>68046</v>
      </c>
    </row>
    <row r="45" spans="1:3" ht="15" customHeight="1">
      <c r="A45" s="42" t="s">
        <v>54</v>
      </c>
      <c r="B45" s="42"/>
      <c r="C45" s="43">
        <f>C44+C26</f>
        <v>192328.94144950676</v>
      </c>
    </row>
    <row r="46" spans="1:3" ht="15" customHeight="1">
      <c r="A46" s="77"/>
      <c r="C46" s="8"/>
    </row>
    <row r="47" spans="1:3" ht="15" customHeight="1">
      <c r="A47" s="127" t="s">
        <v>208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>
      <selection activeCell="I39" sqref="I39"/>
    </sheetView>
  </sheetViews>
  <sheetFormatPr defaultRowHeight="15"/>
  <cols>
    <col min="2" max="2" width="27.7109375" customWidth="1"/>
  </cols>
  <sheetData>
    <row r="1" spans="1:16">
      <c r="A1" s="9">
        <v>1</v>
      </c>
      <c r="B1" s="10" t="s">
        <v>86</v>
      </c>
      <c r="C1" s="11">
        <v>6</v>
      </c>
      <c r="D1" s="12" t="s">
        <v>87</v>
      </c>
      <c r="E1" s="11">
        <v>5</v>
      </c>
      <c r="F1" s="10">
        <v>3388.54</v>
      </c>
      <c r="G1" s="10">
        <v>133.19999999999999</v>
      </c>
      <c r="H1">
        <v>1350</v>
      </c>
      <c r="I1">
        <v>1347</v>
      </c>
      <c r="J1">
        <v>300</v>
      </c>
      <c r="L1" s="71">
        <v>27</v>
      </c>
      <c r="M1" s="87">
        <f>L1*2/3</f>
        <v>18</v>
      </c>
      <c r="O1" s="86">
        <v>399.5</v>
      </c>
      <c r="P1" s="86">
        <v>399.5</v>
      </c>
    </row>
    <row r="2" spans="1:16">
      <c r="A2" s="13">
        <v>2</v>
      </c>
      <c r="B2" s="14" t="s">
        <v>86</v>
      </c>
      <c r="C2" s="15">
        <v>8</v>
      </c>
      <c r="D2" s="16" t="s">
        <v>87</v>
      </c>
      <c r="E2" s="15">
        <v>5</v>
      </c>
      <c r="F2" s="14">
        <v>2900.1</v>
      </c>
      <c r="G2" s="14"/>
      <c r="H2">
        <v>1040</v>
      </c>
      <c r="I2">
        <v>1035</v>
      </c>
      <c r="J2">
        <v>240</v>
      </c>
      <c r="L2" s="71">
        <v>60</v>
      </c>
      <c r="M2" s="87">
        <f t="shared" ref="M2:M38" si="0">L2*2/3</f>
        <v>40</v>
      </c>
      <c r="O2" s="86">
        <v>792.6</v>
      </c>
      <c r="P2" s="86">
        <v>792.6</v>
      </c>
    </row>
    <row r="3" spans="1:16">
      <c r="A3" s="13">
        <v>3</v>
      </c>
      <c r="B3" s="14" t="s">
        <v>86</v>
      </c>
      <c r="C3" s="15">
        <v>10</v>
      </c>
      <c r="D3" s="16" t="s">
        <v>87</v>
      </c>
      <c r="E3" s="15">
        <v>5</v>
      </c>
      <c r="F3" s="14">
        <v>2912.2</v>
      </c>
      <c r="G3" s="14"/>
      <c r="H3">
        <v>1040</v>
      </c>
      <c r="I3">
        <v>1032</v>
      </c>
      <c r="J3">
        <v>240</v>
      </c>
      <c r="L3" s="71">
        <v>60</v>
      </c>
      <c r="M3" s="87">
        <f t="shared" si="0"/>
        <v>40</v>
      </c>
      <c r="O3" s="86">
        <v>824</v>
      </c>
      <c r="P3" s="86">
        <v>824</v>
      </c>
    </row>
    <row r="4" spans="1:16">
      <c r="A4" s="13">
        <v>4</v>
      </c>
      <c r="B4" s="14" t="s">
        <v>86</v>
      </c>
      <c r="C4" s="15">
        <v>11</v>
      </c>
      <c r="D4" s="16" t="s">
        <v>87</v>
      </c>
      <c r="E4" s="15">
        <v>5</v>
      </c>
      <c r="F4" s="14">
        <v>2881.3</v>
      </c>
      <c r="G4" s="14"/>
      <c r="H4">
        <v>1100</v>
      </c>
      <c r="I4">
        <v>1112</v>
      </c>
      <c r="J4">
        <v>280</v>
      </c>
      <c r="L4" s="71">
        <v>60</v>
      </c>
      <c r="M4" s="87">
        <f t="shared" si="0"/>
        <v>40</v>
      </c>
      <c r="O4" s="86">
        <v>580.9</v>
      </c>
      <c r="P4" s="86">
        <v>580.9</v>
      </c>
    </row>
    <row r="5" spans="1:16">
      <c r="A5" s="13">
        <v>5</v>
      </c>
      <c r="B5" s="14" t="s">
        <v>86</v>
      </c>
      <c r="C5" s="15">
        <v>17</v>
      </c>
      <c r="D5" s="16" t="s">
        <v>87</v>
      </c>
      <c r="E5" s="15">
        <v>5</v>
      </c>
      <c r="F5" s="14">
        <v>3091.3</v>
      </c>
      <c r="G5" s="14"/>
      <c r="H5">
        <v>1040</v>
      </c>
      <c r="I5">
        <v>1037</v>
      </c>
      <c r="J5">
        <v>240</v>
      </c>
      <c r="L5" s="71">
        <v>58</v>
      </c>
      <c r="M5" s="87">
        <f t="shared" si="0"/>
        <v>38.666666666666664</v>
      </c>
      <c r="O5" s="86">
        <v>840.4</v>
      </c>
      <c r="P5" s="86">
        <v>840.4</v>
      </c>
    </row>
    <row r="6" spans="1:16">
      <c r="A6" s="13">
        <v>6</v>
      </c>
      <c r="B6" s="14" t="s">
        <v>86</v>
      </c>
      <c r="C6" s="15">
        <v>27</v>
      </c>
      <c r="D6" s="16" t="s">
        <v>87</v>
      </c>
      <c r="E6" s="15">
        <v>5</v>
      </c>
      <c r="F6" s="14">
        <v>2699.5</v>
      </c>
      <c r="G6" s="14"/>
      <c r="H6">
        <v>1040</v>
      </c>
      <c r="I6">
        <v>1041</v>
      </c>
      <c r="J6">
        <v>240</v>
      </c>
      <c r="L6" s="71">
        <v>60</v>
      </c>
      <c r="M6" s="87">
        <f t="shared" si="0"/>
        <v>40</v>
      </c>
      <c r="O6" s="86">
        <v>546.4</v>
      </c>
      <c r="P6" s="86">
        <v>546.4</v>
      </c>
    </row>
    <row r="7" spans="1:16">
      <c r="A7" s="13">
        <v>7</v>
      </c>
      <c r="B7" s="14" t="s">
        <v>88</v>
      </c>
      <c r="C7" s="15">
        <v>61</v>
      </c>
      <c r="D7" s="16" t="s">
        <v>87</v>
      </c>
      <c r="E7" s="15">
        <v>5</v>
      </c>
      <c r="F7" s="14">
        <v>1978.6</v>
      </c>
      <c r="G7" s="14">
        <v>729.6</v>
      </c>
      <c r="H7">
        <v>780</v>
      </c>
      <c r="I7">
        <v>784</v>
      </c>
      <c r="J7">
        <v>180</v>
      </c>
      <c r="L7" s="71">
        <v>48</v>
      </c>
      <c r="M7" s="87">
        <f t="shared" si="0"/>
        <v>32</v>
      </c>
      <c r="O7" s="86">
        <v>392.3</v>
      </c>
      <c r="P7" s="86">
        <v>392.3</v>
      </c>
    </row>
    <row r="8" spans="1:16">
      <c r="A8" s="13">
        <v>8</v>
      </c>
      <c r="B8" s="14" t="s">
        <v>88</v>
      </c>
      <c r="C8" s="15">
        <v>88</v>
      </c>
      <c r="D8" s="16" t="s">
        <v>87</v>
      </c>
      <c r="E8" s="15">
        <v>5</v>
      </c>
      <c r="F8" s="14">
        <v>3257.3</v>
      </c>
      <c r="G8" s="14"/>
      <c r="H8">
        <v>780</v>
      </c>
      <c r="I8">
        <v>781</v>
      </c>
      <c r="J8">
        <v>180</v>
      </c>
      <c r="L8" s="71">
        <v>40</v>
      </c>
      <c r="M8" s="87">
        <f t="shared" si="0"/>
        <v>26.666666666666668</v>
      </c>
      <c r="O8" s="86">
        <v>369.5</v>
      </c>
      <c r="P8" s="86">
        <v>369.5</v>
      </c>
    </row>
    <row r="9" spans="1:16">
      <c r="A9" s="13">
        <v>9</v>
      </c>
      <c r="B9" s="14" t="s">
        <v>88</v>
      </c>
      <c r="C9" s="15">
        <v>100</v>
      </c>
      <c r="D9" s="16" t="s">
        <v>87</v>
      </c>
      <c r="E9" s="15">
        <v>4</v>
      </c>
      <c r="F9" s="14">
        <v>2900.7</v>
      </c>
      <c r="G9" s="14">
        <v>217.8</v>
      </c>
      <c r="H9">
        <v>1040</v>
      </c>
      <c r="I9">
        <v>1038</v>
      </c>
      <c r="J9">
        <v>240</v>
      </c>
      <c r="L9" s="71">
        <v>61</v>
      </c>
      <c r="M9" s="87">
        <f t="shared" si="0"/>
        <v>40.666666666666664</v>
      </c>
      <c r="O9" s="86">
        <v>1100.3</v>
      </c>
      <c r="P9" s="86">
        <v>1100.3</v>
      </c>
    </row>
    <row r="10" spans="1:16">
      <c r="A10" s="13">
        <v>10</v>
      </c>
      <c r="B10" s="14" t="s">
        <v>88</v>
      </c>
      <c r="C10" s="15">
        <v>102</v>
      </c>
      <c r="D10" s="16" t="s">
        <v>87</v>
      </c>
      <c r="E10" s="15">
        <v>5</v>
      </c>
      <c r="F10" s="14">
        <v>2698.3</v>
      </c>
      <c r="G10" s="14"/>
      <c r="H10">
        <v>1040</v>
      </c>
      <c r="I10">
        <v>1034</v>
      </c>
      <c r="J10">
        <v>240</v>
      </c>
      <c r="L10" s="71">
        <v>60</v>
      </c>
      <c r="M10" s="87">
        <f t="shared" si="0"/>
        <v>40</v>
      </c>
      <c r="O10" s="86">
        <v>688.8</v>
      </c>
      <c r="P10" s="86">
        <v>688.8</v>
      </c>
    </row>
    <row r="11" spans="1:16">
      <c r="A11" s="13">
        <v>11</v>
      </c>
      <c r="B11" s="14" t="s">
        <v>88</v>
      </c>
      <c r="C11" s="15">
        <v>106</v>
      </c>
      <c r="D11" s="16" t="s">
        <v>87</v>
      </c>
      <c r="E11" s="15">
        <v>5</v>
      </c>
      <c r="F11" s="14">
        <v>2672.2</v>
      </c>
      <c r="G11" s="14"/>
      <c r="H11">
        <v>1040</v>
      </c>
      <c r="I11">
        <v>1041</v>
      </c>
      <c r="J11">
        <v>240</v>
      </c>
      <c r="L11" s="71">
        <v>60</v>
      </c>
      <c r="M11" s="87">
        <f t="shared" si="0"/>
        <v>40</v>
      </c>
      <c r="O11" s="86">
        <v>685.8</v>
      </c>
      <c r="P11" s="86">
        <v>685.8</v>
      </c>
    </row>
    <row r="12" spans="1:16">
      <c r="A12" s="13">
        <v>12</v>
      </c>
      <c r="B12" s="14" t="s">
        <v>88</v>
      </c>
      <c r="C12" s="15" t="s">
        <v>89</v>
      </c>
      <c r="D12" s="16" t="s">
        <v>87</v>
      </c>
      <c r="E12" s="15">
        <v>5</v>
      </c>
      <c r="F12" s="14">
        <v>1786.9</v>
      </c>
      <c r="G12" s="14"/>
      <c r="H12">
        <v>500</v>
      </c>
      <c r="I12">
        <v>503</v>
      </c>
      <c r="J12">
        <v>120</v>
      </c>
      <c r="L12" s="85">
        <v>10</v>
      </c>
      <c r="M12" s="87">
        <f t="shared" si="0"/>
        <v>6.666666666666667</v>
      </c>
      <c r="O12" s="86">
        <v>183.1</v>
      </c>
      <c r="P12" s="86">
        <v>203.3</v>
      </c>
    </row>
    <row r="13" spans="1:16">
      <c r="A13" s="13">
        <v>13</v>
      </c>
      <c r="B13" s="14" t="s">
        <v>88</v>
      </c>
      <c r="C13" s="15">
        <v>108</v>
      </c>
      <c r="D13" s="16" t="s">
        <v>87</v>
      </c>
      <c r="E13" s="15">
        <v>5</v>
      </c>
      <c r="F13" s="14">
        <v>2693.7</v>
      </c>
      <c r="G13" s="14"/>
      <c r="H13">
        <v>1040</v>
      </c>
      <c r="I13">
        <v>1042</v>
      </c>
      <c r="J13">
        <v>240</v>
      </c>
      <c r="L13" s="71">
        <v>60</v>
      </c>
      <c r="M13" s="87">
        <f t="shared" si="0"/>
        <v>40</v>
      </c>
      <c r="O13" s="86">
        <v>691.3</v>
      </c>
      <c r="P13" s="86">
        <v>691.3</v>
      </c>
    </row>
    <row r="14" spans="1:16">
      <c r="A14" s="13">
        <v>14</v>
      </c>
      <c r="B14" s="14" t="s">
        <v>88</v>
      </c>
      <c r="C14" s="15" t="s">
        <v>90</v>
      </c>
      <c r="D14" s="16" t="s">
        <v>87</v>
      </c>
      <c r="E14" s="15">
        <v>5</v>
      </c>
      <c r="F14" s="14">
        <v>3521.2</v>
      </c>
      <c r="G14" s="14"/>
      <c r="H14">
        <v>1040</v>
      </c>
      <c r="I14">
        <v>1043</v>
      </c>
      <c r="J14">
        <v>240</v>
      </c>
      <c r="L14" s="71">
        <v>63</v>
      </c>
      <c r="M14" s="87">
        <f t="shared" si="0"/>
        <v>42</v>
      </c>
      <c r="O14" s="86">
        <v>964.9</v>
      </c>
      <c r="P14" s="86">
        <v>964.9</v>
      </c>
    </row>
    <row r="15" spans="1:16">
      <c r="A15" s="13">
        <v>15</v>
      </c>
      <c r="B15" s="14" t="s">
        <v>88</v>
      </c>
      <c r="C15" s="15">
        <v>147</v>
      </c>
      <c r="D15" s="16" t="s">
        <v>87</v>
      </c>
      <c r="E15" s="15">
        <v>5</v>
      </c>
      <c r="F15" s="14">
        <v>3150.9</v>
      </c>
      <c r="G15" s="14">
        <v>196.4</v>
      </c>
      <c r="H15">
        <v>1040</v>
      </c>
      <c r="I15">
        <v>1037</v>
      </c>
      <c r="J15">
        <v>240</v>
      </c>
      <c r="L15" s="71">
        <v>62</v>
      </c>
      <c r="M15" s="87">
        <f t="shared" si="0"/>
        <v>41.333333333333336</v>
      </c>
      <c r="O15" s="86">
        <v>921.3</v>
      </c>
      <c r="P15" s="86">
        <v>921.3</v>
      </c>
    </row>
    <row r="16" spans="1:16">
      <c r="A16" s="13">
        <v>16</v>
      </c>
      <c r="B16" s="14" t="s">
        <v>91</v>
      </c>
      <c r="C16" s="15">
        <v>166</v>
      </c>
      <c r="D16" s="16" t="s">
        <v>87</v>
      </c>
      <c r="E16" s="15">
        <v>4</v>
      </c>
      <c r="F16" s="14">
        <v>1137</v>
      </c>
      <c r="G16" s="14">
        <v>92</v>
      </c>
      <c r="H16">
        <v>500</v>
      </c>
      <c r="I16">
        <v>503</v>
      </c>
      <c r="J16">
        <v>120</v>
      </c>
      <c r="L16" s="71">
        <v>24</v>
      </c>
      <c r="M16" s="87">
        <f t="shared" si="0"/>
        <v>16</v>
      </c>
      <c r="O16" s="86">
        <v>608.4</v>
      </c>
      <c r="P16" s="86">
        <v>608.4</v>
      </c>
    </row>
    <row r="17" spans="1:16">
      <c r="A17" s="13">
        <v>17</v>
      </c>
      <c r="B17" s="14" t="s">
        <v>91</v>
      </c>
      <c r="C17" s="15">
        <v>172</v>
      </c>
      <c r="D17" s="16" t="s">
        <v>87</v>
      </c>
      <c r="E17" s="15">
        <v>4</v>
      </c>
      <c r="F17" s="14">
        <v>697.3</v>
      </c>
      <c r="G17" s="14">
        <v>1637.1</v>
      </c>
      <c r="H17">
        <v>780</v>
      </c>
      <c r="I17">
        <v>778</v>
      </c>
      <c r="J17">
        <v>180</v>
      </c>
      <c r="L17" s="71">
        <v>16</v>
      </c>
      <c r="M17" s="87">
        <f t="shared" si="0"/>
        <v>10.666666666666666</v>
      </c>
      <c r="O17" s="86">
        <v>676</v>
      </c>
      <c r="P17" s="86">
        <v>233.5</v>
      </c>
    </row>
    <row r="18" spans="1:16">
      <c r="A18" s="13">
        <v>18</v>
      </c>
      <c r="B18" s="14" t="s">
        <v>91</v>
      </c>
      <c r="C18" s="15">
        <v>174</v>
      </c>
      <c r="D18" s="16" t="s">
        <v>87</v>
      </c>
      <c r="E18" s="15">
        <v>5</v>
      </c>
      <c r="F18" s="14">
        <v>2446.8000000000002</v>
      </c>
      <c r="G18" s="14">
        <v>191.6</v>
      </c>
      <c r="H18">
        <v>1040</v>
      </c>
      <c r="I18">
        <v>1046</v>
      </c>
      <c r="J18">
        <v>240</v>
      </c>
      <c r="L18" s="71">
        <v>56</v>
      </c>
      <c r="M18" s="87">
        <f t="shared" si="0"/>
        <v>37.333333333333336</v>
      </c>
      <c r="O18" s="86">
        <v>685.5</v>
      </c>
      <c r="P18" s="86">
        <v>685.5</v>
      </c>
    </row>
    <row r="19" spans="1:16">
      <c r="A19" s="13">
        <v>19</v>
      </c>
      <c r="B19" s="14" t="s">
        <v>91</v>
      </c>
      <c r="C19" s="15">
        <v>180</v>
      </c>
      <c r="D19" s="16" t="s">
        <v>87</v>
      </c>
      <c r="E19" s="15">
        <v>5</v>
      </c>
      <c r="F19" s="14">
        <v>1688.2</v>
      </c>
      <c r="G19" s="14">
        <v>169.7</v>
      </c>
      <c r="H19">
        <v>780</v>
      </c>
      <c r="I19">
        <v>779</v>
      </c>
      <c r="J19">
        <v>180</v>
      </c>
      <c r="L19" s="71">
        <v>48</v>
      </c>
      <c r="M19" s="87">
        <f t="shared" si="0"/>
        <v>32</v>
      </c>
      <c r="O19" s="86">
        <v>661.3</v>
      </c>
      <c r="P19" s="86">
        <v>661.3</v>
      </c>
    </row>
    <row r="20" spans="1:16">
      <c r="A20" s="13">
        <v>20</v>
      </c>
      <c r="B20" s="14" t="s">
        <v>91</v>
      </c>
      <c r="C20" s="15">
        <v>182</v>
      </c>
      <c r="D20" s="16" t="s">
        <v>87</v>
      </c>
      <c r="E20" s="15">
        <v>5</v>
      </c>
      <c r="F20" s="14">
        <v>2018.7</v>
      </c>
      <c r="G20" s="14">
        <v>663.5</v>
      </c>
      <c r="H20">
        <v>780</v>
      </c>
      <c r="I20">
        <v>775</v>
      </c>
      <c r="J20">
        <v>180</v>
      </c>
      <c r="L20" s="71">
        <v>48</v>
      </c>
      <c r="M20" s="87">
        <f t="shared" si="0"/>
        <v>32</v>
      </c>
      <c r="O20" s="86">
        <v>259.39999999999998</v>
      </c>
      <c r="P20" s="86">
        <v>259.39999999999998</v>
      </c>
    </row>
    <row r="21" spans="1:16">
      <c r="A21" s="13">
        <v>21</v>
      </c>
      <c r="B21" s="14" t="s">
        <v>91</v>
      </c>
      <c r="C21" s="15">
        <v>184</v>
      </c>
      <c r="D21" s="16" t="s">
        <v>87</v>
      </c>
      <c r="E21" s="15">
        <v>5</v>
      </c>
      <c r="F21" s="14">
        <v>2742.9</v>
      </c>
      <c r="G21" s="14"/>
      <c r="H21">
        <v>1040</v>
      </c>
      <c r="I21">
        <v>1034</v>
      </c>
      <c r="J21">
        <v>240</v>
      </c>
      <c r="L21" s="71">
        <v>60</v>
      </c>
      <c r="M21" s="87">
        <f t="shared" si="0"/>
        <v>40</v>
      </c>
      <c r="O21" s="86">
        <v>685.4</v>
      </c>
      <c r="P21" s="86">
        <v>685.4</v>
      </c>
    </row>
    <row r="22" spans="1:16">
      <c r="A22" s="13">
        <v>22</v>
      </c>
      <c r="B22" s="14" t="s">
        <v>91</v>
      </c>
      <c r="C22" s="15" t="s">
        <v>92</v>
      </c>
      <c r="D22" s="16" t="s">
        <v>87</v>
      </c>
      <c r="E22" s="15">
        <v>5</v>
      </c>
      <c r="F22" s="14">
        <v>4149.6000000000004</v>
      </c>
      <c r="G22" s="14">
        <v>305.89999999999998</v>
      </c>
      <c r="H22">
        <v>1300</v>
      </c>
      <c r="I22">
        <v>1302</v>
      </c>
      <c r="J22">
        <v>300</v>
      </c>
      <c r="L22" s="71">
        <v>86</v>
      </c>
      <c r="M22" s="87">
        <f t="shared" si="0"/>
        <v>57.333333333333336</v>
      </c>
      <c r="O22" s="86">
        <v>1105.8</v>
      </c>
      <c r="P22" s="86">
        <v>1105.8</v>
      </c>
    </row>
    <row r="23" spans="1:16">
      <c r="A23" s="13">
        <v>23</v>
      </c>
      <c r="B23" s="14" t="s">
        <v>91</v>
      </c>
      <c r="C23" s="15">
        <v>242</v>
      </c>
      <c r="D23" s="16" t="s">
        <v>87</v>
      </c>
      <c r="E23" s="15">
        <v>5</v>
      </c>
      <c r="F23" s="14">
        <v>3369.4</v>
      </c>
      <c r="G23" s="14">
        <v>948.3</v>
      </c>
      <c r="H23">
        <v>1300</v>
      </c>
      <c r="I23">
        <v>1298</v>
      </c>
      <c r="J23">
        <v>300</v>
      </c>
      <c r="L23" s="71">
        <v>33</v>
      </c>
      <c r="M23" s="87">
        <f t="shared" si="0"/>
        <v>22</v>
      </c>
      <c r="O23" s="86">
        <v>672.3</v>
      </c>
      <c r="P23" s="86">
        <v>672.3</v>
      </c>
    </row>
    <row r="24" spans="1:16">
      <c r="A24" s="13">
        <v>24</v>
      </c>
      <c r="B24" s="14" t="s">
        <v>91</v>
      </c>
      <c r="C24" s="15" t="s">
        <v>93</v>
      </c>
      <c r="D24" s="16" t="s">
        <v>87</v>
      </c>
      <c r="E24" s="15">
        <v>3</v>
      </c>
      <c r="F24" s="14">
        <v>1004.3</v>
      </c>
      <c r="G24" s="14"/>
      <c r="H24">
        <v>500</v>
      </c>
      <c r="I24">
        <v>503</v>
      </c>
      <c r="J24">
        <v>120</v>
      </c>
      <c r="L24" s="71">
        <v>24</v>
      </c>
      <c r="M24" s="87">
        <f t="shared" si="0"/>
        <v>16</v>
      </c>
      <c r="O24" s="86">
        <v>479.2</v>
      </c>
      <c r="P24" s="86">
        <v>479.2</v>
      </c>
    </row>
    <row r="25" spans="1:16">
      <c r="A25" s="13">
        <v>25</v>
      </c>
      <c r="B25" s="14" t="s">
        <v>91</v>
      </c>
      <c r="C25" s="15">
        <v>248</v>
      </c>
      <c r="D25" s="16" t="s">
        <v>87</v>
      </c>
      <c r="E25" s="15">
        <v>4</v>
      </c>
      <c r="F25" s="14">
        <v>1143.9000000000001</v>
      </c>
      <c r="G25" s="14">
        <v>506.2</v>
      </c>
      <c r="H25">
        <v>750</v>
      </c>
      <c r="I25">
        <v>752</v>
      </c>
      <c r="J25">
        <v>180</v>
      </c>
      <c r="L25" s="71">
        <v>23</v>
      </c>
      <c r="M25" s="87">
        <f t="shared" si="0"/>
        <v>15.333333333333334</v>
      </c>
      <c r="O25" s="86">
        <v>504.7</v>
      </c>
      <c r="P25" s="86">
        <v>504.7</v>
      </c>
    </row>
    <row r="26" spans="1:16">
      <c r="A26" s="13">
        <v>26</v>
      </c>
      <c r="B26" s="14" t="s">
        <v>91</v>
      </c>
      <c r="C26" s="15">
        <v>250</v>
      </c>
      <c r="D26" s="16" t="s">
        <v>87</v>
      </c>
      <c r="E26" s="15">
        <v>4</v>
      </c>
      <c r="F26" s="14">
        <v>1402.1</v>
      </c>
      <c r="G26" s="14">
        <v>1914.7</v>
      </c>
      <c r="H26">
        <v>504</v>
      </c>
      <c r="I26">
        <v>504</v>
      </c>
      <c r="J26">
        <v>120</v>
      </c>
      <c r="L26" s="71">
        <v>24</v>
      </c>
      <c r="M26" s="87">
        <f t="shared" si="0"/>
        <v>16</v>
      </c>
      <c r="O26" s="86">
        <v>1002.3</v>
      </c>
      <c r="P26" s="86">
        <v>1002.3</v>
      </c>
    </row>
    <row r="27" spans="1:16">
      <c r="A27" s="13">
        <v>27</v>
      </c>
      <c r="B27" s="14" t="s">
        <v>94</v>
      </c>
      <c r="C27" s="15">
        <v>4</v>
      </c>
      <c r="D27" s="16" t="s">
        <v>87</v>
      </c>
      <c r="E27" s="15">
        <v>5</v>
      </c>
      <c r="F27" s="14">
        <v>4406.1000000000004</v>
      </c>
      <c r="G27" s="14"/>
      <c r="H27">
        <v>1300</v>
      </c>
      <c r="I27">
        <v>1301</v>
      </c>
      <c r="J27">
        <v>300</v>
      </c>
      <c r="L27" s="86">
        <v>57</v>
      </c>
      <c r="M27" s="87">
        <f t="shared" si="0"/>
        <v>38</v>
      </c>
      <c r="O27" s="86">
        <v>0</v>
      </c>
      <c r="P27" s="86">
        <v>922.4</v>
      </c>
    </row>
    <row r="28" spans="1:16">
      <c r="A28" s="13">
        <v>28</v>
      </c>
      <c r="B28" s="14" t="s">
        <v>94</v>
      </c>
      <c r="C28" s="15">
        <v>6</v>
      </c>
      <c r="D28" s="16" t="s">
        <v>87</v>
      </c>
      <c r="E28" s="15">
        <v>3</v>
      </c>
      <c r="F28" s="14">
        <v>1027.2</v>
      </c>
      <c r="G28" s="14"/>
      <c r="H28">
        <v>500</v>
      </c>
      <c r="I28">
        <v>503</v>
      </c>
      <c r="J28">
        <v>120</v>
      </c>
      <c r="L28" s="71">
        <v>18</v>
      </c>
      <c r="M28" s="87">
        <f t="shared" si="0"/>
        <v>12</v>
      </c>
      <c r="O28" s="86">
        <v>354.3</v>
      </c>
      <c r="P28" s="86">
        <v>354.3</v>
      </c>
    </row>
    <row r="29" spans="1:16">
      <c r="A29" s="13">
        <v>29</v>
      </c>
      <c r="B29" s="14" t="s">
        <v>95</v>
      </c>
      <c r="C29" s="15">
        <v>16</v>
      </c>
      <c r="D29" s="16" t="s">
        <v>87</v>
      </c>
      <c r="E29" s="15">
        <v>5</v>
      </c>
      <c r="F29" s="14">
        <v>2900.9</v>
      </c>
      <c r="G29" s="14"/>
      <c r="H29">
        <v>1040</v>
      </c>
      <c r="I29">
        <v>1043</v>
      </c>
      <c r="J29">
        <v>240</v>
      </c>
      <c r="L29" s="71">
        <v>60</v>
      </c>
      <c r="M29" s="87">
        <f t="shared" si="0"/>
        <v>40</v>
      </c>
      <c r="O29" s="86">
        <v>806.2</v>
      </c>
      <c r="P29" s="86">
        <v>806.2</v>
      </c>
    </row>
    <row r="30" spans="1:16">
      <c r="A30" s="13">
        <v>30</v>
      </c>
      <c r="B30" s="14" t="s">
        <v>95</v>
      </c>
      <c r="C30" s="15">
        <v>18</v>
      </c>
      <c r="D30" s="16" t="s">
        <v>87</v>
      </c>
      <c r="E30" s="15">
        <v>5</v>
      </c>
      <c r="F30" s="14">
        <v>2595.9</v>
      </c>
      <c r="G30" s="14"/>
      <c r="H30">
        <v>1040</v>
      </c>
      <c r="I30">
        <v>1045</v>
      </c>
      <c r="J30">
        <v>240</v>
      </c>
      <c r="L30" s="71">
        <v>55</v>
      </c>
      <c r="M30" s="87">
        <f t="shared" si="0"/>
        <v>36.666666666666664</v>
      </c>
      <c r="O30" s="86">
        <v>685.1</v>
      </c>
      <c r="P30" s="86">
        <v>685.1</v>
      </c>
    </row>
    <row r="31" spans="1:16">
      <c r="A31" s="13">
        <v>31</v>
      </c>
      <c r="B31" s="14" t="s">
        <v>95</v>
      </c>
      <c r="C31" s="15" t="s">
        <v>96</v>
      </c>
      <c r="D31" s="16" t="s">
        <v>87</v>
      </c>
      <c r="E31" s="15">
        <v>5</v>
      </c>
      <c r="F31" s="14">
        <v>2899</v>
      </c>
      <c r="G31" s="14"/>
      <c r="H31">
        <v>1040</v>
      </c>
      <c r="I31">
        <v>1037</v>
      </c>
      <c r="J31">
        <v>240</v>
      </c>
      <c r="L31" s="71">
        <v>60</v>
      </c>
      <c r="M31" s="87">
        <f t="shared" si="0"/>
        <v>40</v>
      </c>
      <c r="O31" s="86">
        <v>830.7</v>
      </c>
      <c r="P31" s="86">
        <v>830.7</v>
      </c>
    </row>
    <row r="32" spans="1:16">
      <c r="A32" s="13">
        <v>32</v>
      </c>
      <c r="B32" s="14" t="s">
        <v>97</v>
      </c>
      <c r="C32" s="15">
        <v>44</v>
      </c>
      <c r="D32" s="16" t="s">
        <v>98</v>
      </c>
      <c r="E32" s="15">
        <v>9</v>
      </c>
      <c r="F32" s="17">
        <v>4188.7</v>
      </c>
      <c r="G32" s="17">
        <v>354.9</v>
      </c>
      <c r="H32">
        <v>650</v>
      </c>
      <c r="I32">
        <v>653</v>
      </c>
      <c r="J32">
        <v>120</v>
      </c>
      <c r="L32" s="71">
        <v>63</v>
      </c>
      <c r="M32" s="87">
        <f t="shared" si="0"/>
        <v>42</v>
      </c>
      <c r="O32" s="86">
        <v>562.4</v>
      </c>
      <c r="P32" s="86"/>
    </row>
    <row r="33" spans="1:16">
      <c r="A33" s="13">
        <v>33</v>
      </c>
      <c r="B33" s="14" t="s">
        <v>99</v>
      </c>
      <c r="C33" s="15">
        <v>33</v>
      </c>
      <c r="D33" s="16" t="s">
        <v>87</v>
      </c>
      <c r="E33" s="15">
        <v>5</v>
      </c>
      <c r="F33" s="14">
        <v>927.4</v>
      </c>
      <c r="G33" s="14"/>
      <c r="H33">
        <v>280</v>
      </c>
      <c r="I33">
        <v>279</v>
      </c>
      <c r="J33">
        <v>60</v>
      </c>
      <c r="L33" s="71">
        <v>20</v>
      </c>
      <c r="M33" s="87">
        <f t="shared" si="0"/>
        <v>13.333333333333334</v>
      </c>
      <c r="O33" s="86">
        <v>277.39999999999998</v>
      </c>
      <c r="P33" s="86">
        <v>277.39999999999998</v>
      </c>
    </row>
    <row r="34" spans="1:16">
      <c r="A34" s="13">
        <v>34</v>
      </c>
      <c r="B34" s="14" t="s">
        <v>100</v>
      </c>
      <c r="C34" s="15" t="s">
        <v>101</v>
      </c>
      <c r="D34" s="16" t="s">
        <v>87</v>
      </c>
      <c r="E34" s="15">
        <v>5</v>
      </c>
      <c r="F34" s="14">
        <v>806.9</v>
      </c>
      <c r="G34" s="14">
        <v>120.5</v>
      </c>
      <c r="H34">
        <v>280</v>
      </c>
      <c r="I34">
        <v>282</v>
      </c>
      <c r="J34">
        <v>30</v>
      </c>
      <c r="L34" s="71">
        <v>19</v>
      </c>
      <c r="M34" s="87">
        <f t="shared" si="0"/>
        <v>12.666666666666666</v>
      </c>
      <c r="O34" s="86">
        <v>271.39999999999998</v>
      </c>
      <c r="P34" s="86">
        <v>271.39999999999998</v>
      </c>
    </row>
    <row r="35" spans="1:16">
      <c r="A35" s="13">
        <v>35</v>
      </c>
      <c r="B35" s="14" t="s">
        <v>100</v>
      </c>
      <c r="C35" s="15">
        <v>64</v>
      </c>
      <c r="D35" s="16" t="s">
        <v>87</v>
      </c>
      <c r="E35" s="15">
        <v>3</v>
      </c>
      <c r="F35" s="14">
        <v>1303.3</v>
      </c>
      <c r="G35" s="14"/>
      <c r="H35">
        <v>500</v>
      </c>
      <c r="I35">
        <v>498</v>
      </c>
      <c r="J35">
        <v>120</v>
      </c>
      <c r="L35" s="71">
        <v>24</v>
      </c>
      <c r="M35" s="87">
        <f t="shared" si="0"/>
        <v>16</v>
      </c>
      <c r="O35" s="86">
        <v>703.9</v>
      </c>
      <c r="P35" s="86">
        <v>388.3</v>
      </c>
    </row>
    <row r="36" spans="1:16">
      <c r="A36" s="13">
        <v>36</v>
      </c>
      <c r="B36" s="14" t="s">
        <v>102</v>
      </c>
      <c r="C36" s="18" t="s">
        <v>103</v>
      </c>
      <c r="D36" s="16" t="s">
        <v>98</v>
      </c>
      <c r="E36" s="15">
        <v>5</v>
      </c>
      <c r="F36" s="14">
        <v>1181</v>
      </c>
      <c r="G36" s="14">
        <v>94.9</v>
      </c>
      <c r="H36">
        <v>90</v>
      </c>
      <c r="I36">
        <v>93</v>
      </c>
      <c r="J36">
        <v>30</v>
      </c>
      <c r="L36" s="71">
        <v>18</v>
      </c>
      <c r="M36" s="87">
        <f t="shared" si="0"/>
        <v>12</v>
      </c>
      <c r="O36" s="86">
        <v>288.89999999999998</v>
      </c>
      <c r="P36" s="86">
        <v>288.89999999999998</v>
      </c>
    </row>
    <row r="37" spans="1:16">
      <c r="A37" s="19">
        <v>37</v>
      </c>
      <c r="B37" s="20" t="s">
        <v>102</v>
      </c>
      <c r="C37" s="21" t="s">
        <v>104</v>
      </c>
      <c r="D37" s="22" t="s">
        <v>98</v>
      </c>
      <c r="E37" s="23">
        <v>9</v>
      </c>
      <c r="F37" s="20">
        <v>1949.1</v>
      </c>
      <c r="G37" s="20">
        <v>40.799999999999997</v>
      </c>
      <c r="L37" s="71"/>
      <c r="M37" s="87">
        <f t="shared" si="0"/>
        <v>0</v>
      </c>
      <c r="O37" s="92"/>
      <c r="P37" s="92"/>
    </row>
    <row r="38" spans="1:16" ht="15.75" thickBot="1">
      <c r="A38" s="24">
        <v>38</v>
      </c>
      <c r="B38" s="25" t="s">
        <v>105</v>
      </c>
      <c r="C38" s="26" t="s">
        <v>106</v>
      </c>
      <c r="D38" s="27" t="s">
        <v>87</v>
      </c>
      <c r="E38" s="26">
        <v>6</v>
      </c>
      <c r="F38" s="25">
        <v>1046</v>
      </c>
      <c r="G38" s="25">
        <v>362.2</v>
      </c>
      <c r="H38">
        <v>280</v>
      </c>
      <c r="I38">
        <v>283</v>
      </c>
      <c r="J38">
        <v>30</v>
      </c>
      <c r="L38" s="71">
        <v>8</v>
      </c>
      <c r="M38" s="87">
        <f t="shared" si="0"/>
        <v>5.333333333333333</v>
      </c>
      <c r="O38" s="86">
        <v>137.5</v>
      </c>
      <c r="P38" s="86"/>
    </row>
    <row r="39" spans="1:16" ht="15.75" thickBot="1">
      <c r="A39" s="28"/>
      <c r="B39" s="29"/>
      <c r="C39" s="30"/>
      <c r="D39" s="31"/>
      <c r="E39" s="30"/>
      <c r="F39" s="29">
        <f>SUM(F1:F38)</f>
        <v>89564.439999999973</v>
      </c>
      <c r="G39" s="29">
        <f t="shared" ref="G39" si="1">SUM(G1:G38)</f>
        <v>8679.2999999999993</v>
      </c>
      <c r="H39">
        <v>1040</v>
      </c>
      <c r="I39">
        <v>1039</v>
      </c>
      <c r="J39">
        <v>240</v>
      </c>
    </row>
  </sheetData>
  <pageMargins left="0.7" right="0.7" top="0.75" bottom="0.75" header="0.3" footer="0.3"/>
  <pageSetup paperSize="9" scale="7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13" workbookViewId="0">
      <selection activeCell="C38" sqref="C38"/>
    </sheetView>
  </sheetViews>
  <sheetFormatPr defaultRowHeight="15"/>
  <cols>
    <col min="1" max="1" width="67.140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128</v>
      </c>
    </row>
    <row r="6" spans="1:3">
      <c r="A6" s="33"/>
    </row>
    <row r="7" spans="1:3">
      <c r="A7" s="34" t="s">
        <v>111</v>
      </c>
      <c r="B7" s="38">
        <v>3369.4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3941*0.43*1.45*2.1*1.22*12/2</f>
        <v>37772.285921999995</v>
      </c>
    </row>
    <row r="18" spans="1:3" ht="15" customHeight="1">
      <c r="A18" s="3" t="s">
        <v>12</v>
      </c>
      <c r="B18" s="76" t="s">
        <v>13</v>
      </c>
      <c r="C18" s="40">
        <f>0.07*B7*5/2</f>
        <v>589.6450000000001</v>
      </c>
    </row>
    <row r="19" spans="1:3" ht="15" customHeight="1">
      <c r="A19" s="3" t="s">
        <v>14</v>
      </c>
      <c r="B19" s="76" t="s">
        <v>13</v>
      </c>
      <c r="C19" s="40">
        <f>4*870*5/2</f>
        <v>8700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48147.384298320372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343.60132198311396</v>
      </c>
    </row>
    <row r="22" spans="1:3" ht="15" customHeight="1">
      <c r="A22" s="3" t="s">
        <v>18</v>
      </c>
      <c r="B22" s="76" t="s">
        <v>154</v>
      </c>
      <c r="C22" s="40">
        <f>3941*0.31*1.45*2.1*1.22*12/2</f>
        <v>27231.182873999998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'!B1*0.75/2</f>
        <v>108380.02188191828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40174.211738545331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271338.33303676709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69120</v>
      </c>
    </row>
    <row r="30" spans="1:3" ht="15" customHeight="1">
      <c r="A30" s="3" t="s">
        <v>156</v>
      </c>
      <c r="B30" s="76" t="s">
        <v>13</v>
      </c>
      <c r="C30" s="40">
        <v>45042</v>
      </c>
    </row>
    <row r="31" spans="1:3" ht="15" customHeight="1">
      <c r="A31" s="3" t="s">
        <v>175</v>
      </c>
      <c r="B31" s="76" t="s">
        <v>13</v>
      </c>
      <c r="C31" s="40">
        <v>220120</v>
      </c>
    </row>
    <row r="32" spans="1:3" ht="15" customHeight="1">
      <c r="A32" s="3" t="s">
        <v>159</v>
      </c>
      <c r="B32" s="76" t="s">
        <v>13</v>
      </c>
      <c r="C32" s="40">
        <v>1041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77424</v>
      </c>
    </row>
    <row r="35" spans="1:3" ht="15" customHeight="1">
      <c r="A35" s="3" t="s">
        <v>162</v>
      </c>
      <c r="B35" s="76" t="s">
        <v>13</v>
      </c>
      <c r="C35" s="40">
        <v>4045</v>
      </c>
    </row>
    <row r="36" spans="1:3" ht="15" customHeight="1">
      <c r="A36" s="3" t="s">
        <v>39</v>
      </c>
      <c r="B36" s="76" t="s">
        <v>13</v>
      </c>
      <c r="C36" s="40">
        <v>5676</v>
      </c>
    </row>
    <row r="37" spans="1:3" ht="15" customHeight="1">
      <c r="A37" s="3" t="s">
        <v>42</v>
      </c>
      <c r="B37" s="76" t="s">
        <v>13</v>
      </c>
      <c r="C37" s="40">
        <v>23602</v>
      </c>
    </row>
    <row r="38" spans="1:3" ht="15" customHeight="1">
      <c r="A38" s="3" t="s">
        <v>44</v>
      </c>
      <c r="B38" s="76" t="s">
        <v>13</v>
      </c>
      <c r="C38" s="40">
        <v>9950</v>
      </c>
    </row>
    <row r="39" spans="1:3" ht="23.25" customHeight="1">
      <c r="A39" s="3" t="s">
        <v>46</v>
      </c>
      <c r="B39" s="76" t="s">
        <v>47</v>
      </c>
      <c r="C39" s="40">
        <v>5750</v>
      </c>
    </row>
    <row r="40" spans="1:3" ht="15" customHeight="1">
      <c r="A40" s="3" t="s">
        <v>48</v>
      </c>
      <c r="B40" s="76" t="s">
        <v>161</v>
      </c>
      <c r="C40" s="40">
        <v>2850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2911</v>
      </c>
    </row>
    <row r="43" spans="1:3" ht="15" customHeight="1">
      <c r="A43" s="3" t="s">
        <v>164</v>
      </c>
      <c r="B43" s="76" t="s">
        <v>13</v>
      </c>
      <c r="C43" s="40">
        <v>22847</v>
      </c>
    </row>
    <row r="44" spans="1:3" ht="15" customHeight="1">
      <c r="A44" s="5" t="s">
        <v>27</v>
      </c>
      <c r="B44" s="5"/>
      <c r="C44" s="41">
        <f>SUM(C29:C43)</f>
        <v>490378</v>
      </c>
    </row>
    <row r="45" spans="1:3" ht="15" customHeight="1">
      <c r="A45" s="42" t="s">
        <v>54</v>
      </c>
      <c r="B45" s="42"/>
      <c r="C45" s="43">
        <f>C44+C26</f>
        <v>761716.33303676709</v>
      </c>
    </row>
    <row r="46" spans="1:3" ht="15" customHeight="1">
      <c r="A46" s="77"/>
      <c r="C46" s="8"/>
    </row>
    <row r="47" spans="1:3" ht="15" customHeight="1">
      <c r="A47" s="127" t="s">
        <v>197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2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opLeftCell="A31" workbookViewId="0">
      <selection activeCell="C55" sqref="C55"/>
    </sheetView>
  </sheetViews>
  <sheetFormatPr defaultRowHeight="15"/>
  <cols>
    <col min="1" max="1" width="66.140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129</v>
      </c>
    </row>
    <row r="6" spans="1:3">
      <c r="A6" s="33"/>
    </row>
    <row r="7" spans="1:3">
      <c r="A7" s="34" t="s">
        <v>111</v>
      </c>
      <c r="B7" s="38">
        <v>1143.9000000000001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3941*0.47*1.45*2.1*1.22*12*0.75/2</f>
        <v>30964.490203500001</v>
      </c>
    </row>
    <row r="18" spans="1:3" ht="15" customHeight="1">
      <c r="A18" s="3" t="s">
        <v>12</v>
      </c>
      <c r="B18" s="76" t="s">
        <v>13</v>
      </c>
      <c r="C18" s="40">
        <f>0.07*B7*5/2</f>
        <v>200.1825</v>
      </c>
    </row>
    <row r="19" spans="1:3" ht="15" customHeight="1">
      <c r="A19" s="3" t="s">
        <v>14</v>
      </c>
      <c r="B19" s="76" t="s">
        <v>13</v>
      </c>
      <c r="C19" s="40">
        <f>4*1350*3/2</f>
        <v>8100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16345.875496779448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116.65149647310621</v>
      </c>
    </row>
    <row r="22" spans="1:3" ht="15" customHeight="1">
      <c r="A22" s="3" t="s">
        <v>18</v>
      </c>
      <c r="B22" s="76" t="s">
        <v>154</v>
      </c>
      <c r="C22" s="40">
        <f>3941*0.17*1.45*2.1*1.22*12/2</f>
        <v>14933.229318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'!B1*0.75/2</f>
        <v>36794.653953441659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13639.01015246691</v>
      </c>
    </row>
    <row r="25" spans="1:3" s="7" customFormat="1" ht="15" customHeight="1">
      <c r="A25" s="3" t="s">
        <v>26</v>
      </c>
      <c r="B25" s="76" t="s">
        <v>25</v>
      </c>
      <c r="C25" s="40">
        <v>16650</v>
      </c>
    </row>
    <row r="26" spans="1:3" s="7" customFormat="1" ht="15" customHeight="1">
      <c r="A26" s="5" t="s">
        <v>27</v>
      </c>
      <c r="B26" s="3"/>
      <c r="C26" s="40">
        <f>SUM(C17:C25)</f>
        <v>137744.09312066113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32400</v>
      </c>
    </row>
    <row r="30" spans="1:3" ht="15" customHeight="1">
      <c r="A30" s="3" t="s">
        <v>156</v>
      </c>
      <c r="B30" s="76" t="s">
        <v>13</v>
      </c>
      <c r="C30" s="40">
        <v>1470</v>
      </c>
    </row>
    <row r="31" spans="1:3" ht="15" customHeight="1">
      <c r="A31" s="3" t="s">
        <v>175</v>
      </c>
      <c r="B31" s="76" t="s">
        <v>13</v>
      </c>
      <c r="C31" s="40"/>
    </row>
    <row r="32" spans="1:3" ht="15" customHeight="1">
      <c r="A32" s="3" t="s">
        <v>159</v>
      </c>
      <c r="B32" s="76" t="s">
        <v>13</v>
      </c>
      <c r="C32" s="40">
        <v>782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66315</v>
      </c>
    </row>
    <row r="35" spans="1:3" ht="15" customHeight="1">
      <c r="A35" s="3" t="s">
        <v>162</v>
      </c>
      <c r="B35" s="76" t="s">
        <v>13</v>
      </c>
      <c r="C35" s="40">
        <v>1750</v>
      </c>
    </row>
    <row r="36" spans="1:3" ht="15" customHeight="1">
      <c r="A36" s="3" t="s">
        <v>39</v>
      </c>
      <c r="B36" s="76" t="s">
        <v>13</v>
      </c>
      <c r="C36" s="40">
        <v>3870</v>
      </c>
    </row>
    <row r="37" spans="1:3" ht="15" customHeight="1">
      <c r="A37" s="3" t="s">
        <v>42</v>
      </c>
      <c r="B37" s="76" t="s">
        <v>13</v>
      </c>
      <c r="C37" s="40">
        <v>16848</v>
      </c>
    </row>
    <row r="38" spans="1:3" ht="15" customHeight="1">
      <c r="A38" s="3" t="s">
        <v>44</v>
      </c>
      <c r="B38" s="76" t="s">
        <v>13</v>
      </c>
      <c r="C38" s="40">
        <v>23300</v>
      </c>
    </row>
    <row r="39" spans="1:3" ht="24" customHeight="1">
      <c r="A39" s="3" t="s">
        <v>46</v>
      </c>
      <c r="B39" s="76" t="s">
        <v>47</v>
      </c>
      <c r="C39" s="40">
        <v>18300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f>27*6+49*6</f>
        <v>456</v>
      </c>
    </row>
    <row r="43" spans="1:3" ht="15" customHeight="1">
      <c r="A43" s="3" t="s">
        <v>164</v>
      </c>
      <c r="B43" s="76" t="s">
        <v>13</v>
      </c>
      <c r="C43" s="40">
        <v>15686</v>
      </c>
    </row>
    <row r="44" spans="1:3" ht="15" customHeight="1">
      <c r="A44" s="5" t="s">
        <v>27</v>
      </c>
      <c r="B44" s="5"/>
      <c r="C44" s="41">
        <f>SUM(C29:C43)</f>
        <v>190027</v>
      </c>
    </row>
    <row r="45" spans="1:3" ht="15" customHeight="1">
      <c r="A45" s="42" t="s">
        <v>54</v>
      </c>
      <c r="B45" s="42"/>
      <c r="C45" s="43">
        <f>C44+C26</f>
        <v>327771.0931206611</v>
      </c>
    </row>
    <row r="46" spans="1:3" ht="15" customHeight="1">
      <c r="A46" s="110"/>
      <c r="B46" s="110"/>
      <c r="C46" s="111"/>
    </row>
    <row r="47" spans="1:3" ht="15" customHeight="1">
      <c r="A47" s="110"/>
      <c r="B47" s="110"/>
      <c r="C47" s="111"/>
    </row>
    <row r="48" spans="1:3" ht="15" customHeight="1">
      <c r="A48" s="127" t="s">
        <v>209</v>
      </c>
      <c r="B48" s="127"/>
    </row>
    <row r="49" ht="15" customHeight="1"/>
    <row r="50" ht="15" customHeight="1"/>
    <row r="51" ht="15" customHeight="1"/>
  </sheetData>
  <mergeCells count="3">
    <mergeCell ref="A48:B48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22" workbookViewId="0">
      <selection activeCell="C44" sqref="C44"/>
    </sheetView>
  </sheetViews>
  <sheetFormatPr defaultRowHeight="15"/>
  <cols>
    <col min="1" max="1" width="67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130</v>
      </c>
    </row>
    <row r="6" spans="1:3">
      <c r="A6" s="33"/>
    </row>
    <row r="7" spans="1:3">
      <c r="A7" s="34" t="s">
        <v>111</v>
      </c>
      <c r="B7" s="38">
        <v>1402.1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3941*0.47*1.45*2.1*1.22*12/2</f>
        <v>41285.986938000002</v>
      </c>
    </row>
    <row r="18" spans="1:3" ht="15" customHeight="1">
      <c r="A18" s="3" t="s">
        <v>12</v>
      </c>
      <c r="B18" s="76" t="s">
        <v>13</v>
      </c>
      <c r="C18" s="40">
        <f>0.07*B7*5/2</f>
        <v>245.36750000000001</v>
      </c>
    </row>
    <row r="19" spans="1:3" ht="15" customHeight="1">
      <c r="A19" s="3" t="s">
        <v>14</v>
      </c>
      <c r="B19" s="76" t="s">
        <v>13</v>
      </c>
      <c r="C19" s="40">
        <f>4*1350*3/2</f>
        <v>8100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20035.450681033708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142.98195926649373</v>
      </c>
    </row>
    <row r="22" spans="1:3" ht="15" customHeight="1">
      <c r="A22" s="3" t="s">
        <v>18</v>
      </c>
      <c r="B22" s="76" t="s">
        <v>154</v>
      </c>
      <c r="C22" s="40">
        <f>3941*0.37*1.45*2.1*1.22*12/2</f>
        <v>32501.734398000004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'!B1*0.6/2</f>
        <v>36079.92608313352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16717.594313116399</v>
      </c>
    </row>
    <row r="25" spans="1:3" s="7" customFormat="1" ht="15" customHeight="1">
      <c r="A25" s="3" t="s">
        <v>26</v>
      </c>
      <c r="B25" s="76" t="s">
        <v>25</v>
      </c>
      <c r="C25" s="40">
        <v>16650</v>
      </c>
    </row>
    <row r="26" spans="1:3" s="7" customFormat="1" ht="15" customHeight="1">
      <c r="A26" s="5" t="s">
        <v>27</v>
      </c>
      <c r="B26" s="3"/>
      <c r="C26" s="40">
        <f>SUM(C17:C25)</f>
        <v>171759.04187255012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45360</v>
      </c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175</v>
      </c>
      <c r="B31" s="76" t="s">
        <v>13</v>
      </c>
      <c r="C31" s="40">
        <v>226098</v>
      </c>
    </row>
    <row r="32" spans="1:3" ht="15" customHeight="1">
      <c r="A32" s="3" t="s">
        <v>159</v>
      </c>
      <c r="B32" s="76" t="s">
        <v>13</v>
      </c>
      <c r="C32" s="40">
        <v>1552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47981</v>
      </c>
    </row>
    <row r="35" spans="1:3" ht="15" customHeight="1">
      <c r="A35" s="3" t="s">
        <v>162</v>
      </c>
      <c r="B35" s="76" t="s">
        <v>13</v>
      </c>
      <c r="C35" s="40">
        <v>3572</v>
      </c>
    </row>
    <row r="36" spans="1:3" ht="15" customHeight="1">
      <c r="A36" s="3" t="s">
        <v>39</v>
      </c>
      <c r="B36" s="76" t="s">
        <v>13</v>
      </c>
      <c r="C36" s="40">
        <v>4128</v>
      </c>
    </row>
    <row r="37" spans="1:3" ht="15" customHeight="1">
      <c r="A37" s="3" t="s">
        <v>42</v>
      </c>
      <c r="B37" s="76" t="s">
        <v>13</v>
      </c>
      <c r="C37" s="40">
        <v>7696</v>
      </c>
    </row>
    <row r="38" spans="1:3" ht="15" customHeight="1">
      <c r="A38" s="3" t="s">
        <v>44</v>
      </c>
      <c r="B38" s="76" t="s">
        <v>13</v>
      </c>
      <c r="C38" s="40">
        <v>5600</v>
      </c>
    </row>
    <row r="39" spans="1:3" ht="21.75" customHeight="1">
      <c r="A39" s="3" t="s">
        <v>46</v>
      </c>
      <c r="B39" s="76" t="s">
        <v>47</v>
      </c>
      <c r="C39" s="40">
        <v>2600</v>
      </c>
    </row>
    <row r="40" spans="1:3" ht="15" customHeight="1">
      <c r="A40" s="3" t="s">
        <v>48</v>
      </c>
      <c r="B40" s="76" t="s">
        <v>161</v>
      </c>
      <c r="C40" s="40">
        <v>6850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1609</v>
      </c>
    </row>
    <row r="43" spans="1:3" ht="15" customHeight="1">
      <c r="A43" s="3" t="s">
        <v>164</v>
      </c>
      <c r="B43" s="76" t="s">
        <v>13</v>
      </c>
      <c r="C43" s="40">
        <v>14368</v>
      </c>
    </row>
    <row r="44" spans="1:3" ht="15" customHeight="1">
      <c r="A44" s="5" t="s">
        <v>27</v>
      </c>
      <c r="B44" s="5"/>
      <c r="C44" s="41">
        <f>SUM(C29:C43)</f>
        <v>367414</v>
      </c>
    </row>
    <row r="45" spans="1:3" ht="15" customHeight="1">
      <c r="A45" s="42" t="s">
        <v>54</v>
      </c>
      <c r="B45" s="42"/>
      <c r="C45" s="43">
        <f>C44+C26</f>
        <v>539173.04187255015</v>
      </c>
    </row>
    <row r="46" spans="1:3" ht="15" customHeight="1">
      <c r="A46" s="77"/>
      <c r="C46" s="8"/>
    </row>
    <row r="47" spans="1:3" ht="15" customHeight="1">
      <c r="A47" s="127" t="s">
        <v>207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opLeftCell="A31" workbookViewId="0">
      <selection activeCell="C54" sqref="C54"/>
    </sheetView>
  </sheetViews>
  <sheetFormatPr defaultRowHeight="15"/>
  <cols>
    <col min="1" max="1" width="65.57031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131</v>
      </c>
    </row>
    <row r="6" spans="1:3">
      <c r="A6" s="33"/>
    </row>
    <row r="7" spans="1:3">
      <c r="A7" s="34" t="s">
        <v>111</v>
      </c>
      <c r="B7" s="38">
        <v>1181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3941*0.81*1.45*2.1*1.22*2*4</f>
        <v>94869.927431999997</v>
      </c>
    </row>
    <row r="18" spans="1:3" ht="15" customHeight="1">
      <c r="A18" s="3" t="s">
        <v>12</v>
      </c>
      <c r="B18" s="76" t="s">
        <v>13</v>
      </c>
      <c r="C18" s="40">
        <f>0.07*B7*5*4*2</f>
        <v>3306.8</v>
      </c>
    </row>
    <row r="19" spans="1:3" ht="15" customHeight="1">
      <c r="A19" s="3" t="s">
        <v>14</v>
      </c>
      <c r="B19" s="76" t="s">
        <v>13</v>
      </c>
      <c r="C19" s="40">
        <f>4*2497*1*4/2</f>
        <v>19976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'!B1/6*4</f>
        <v>22501.359631315703</v>
      </c>
    </row>
    <row r="21" spans="1:3" ht="15" customHeight="1">
      <c r="A21" s="3" t="s">
        <v>17</v>
      </c>
      <c r="B21" s="76" t="s">
        <v>13</v>
      </c>
      <c r="C21" s="40"/>
    </row>
    <row r="22" spans="1:3" ht="15" customHeight="1">
      <c r="A22" s="3" t="s">
        <v>18</v>
      </c>
      <c r="B22" s="76" t="s">
        <v>154</v>
      </c>
      <c r="C22" s="40">
        <f>3941*0.57*1.45*2.1*1.22*2*4/2</f>
        <v>33380.159651999995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'!B1/6*4/2</f>
        <v>33767.121305486762</v>
      </c>
    </row>
    <row r="24" spans="1:3" s="7" customFormat="1" ht="15" customHeight="1">
      <c r="A24" s="3" t="s">
        <v>24</v>
      </c>
      <c r="B24" s="76" t="s">
        <v>25</v>
      </c>
      <c r="C24" s="40">
        <f>(0.82*B7*12+B7*'общие данные '!C8/'общие данные '!B1)/6</f>
        <v>2756.9476242280557</v>
      </c>
    </row>
    <row r="25" spans="1:3" s="7" customFormat="1" ht="15" customHeight="1">
      <c r="A25" s="3" t="s">
        <v>26</v>
      </c>
      <c r="B25" s="76" t="s">
        <v>25</v>
      </c>
      <c r="C25" s="40">
        <v>1387.5</v>
      </c>
    </row>
    <row r="26" spans="1:3" s="7" customFormat="1" ht="15" customHeight="1">
      <c r="A26" s="5" t="s">
        <v>27</v>
      </c>
      <c r="B26" s="3"/>
      <c r="C26" s="40">
        <f>SUM(C17:C25)</f>
        <v>211945.81564503053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2700</v>
      </c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175</v>
      </c>
      <c r="B31" s="76" t="s">
        <v>13</v>
      </c>
      <c r="C31" s="40"/>
    </row>
    <row r="32" spans="1:3" ht="15" customHeight="1">
      <c r="A32" s="3" t="s">
        <v>159</v>
      </c>
      <c r="B32" s="76" t="s">
        <v>13</v>
      </c>
      <c r="C32" s="40"/>
    </row>
    <row r="33" spans="1:5" ht="15" customHeight="1">
      <c r="A33" s="5" t="s">
        <v>35</v>
      </c>
      <c r="B33" s="78"/>
      <c r="C33" s="41"/>
    </row>
    <row r="34" spans="1:5" ht="15" customHeight="1">
      <c r="A34" s="3" t="s">
        <v>163</v>
      </c>
      <c r="B34" s="76" t="s">
        <v>13</v>
      </c>
      <c r="C34" s="40">
        <v>42760</v>
      </c>
    </row>
    <row r="35" spans="1:5" ht="15" customHeight="1">
      <c r="A35" s="3" t="s">
        <v>162</v>
      </c>
      <c r="B35" s="76" t="s">
        <v>13</v>
      </c>
      <c r="C35" s="40"/>
    </row>
    <row r="36" spans="1:5" ht="15" customHeight="1">
      <c r="A36" s="3" t="s">
        <v>39</v>
      </c>
      <c r="B36" s="76" t="s">
        <v>13</v>
      </c>
      <c r="C36" s="40">
        <v>12600</v>
      </c>
    </row>
    <row r="37" spans="1:5" ht="15" customHeight="1">
      <c r="A37" s="3" t="s">
        <v>42</v>
      </c>
      <c r="B37" s="76" t="s">
        <v>13</v>
      </c>
      <c r="C37" s="40">
        <v>14700</v>
      </c>
    </row>
    <row r="38" spans="1:5" ht="15" customHeight="1">
      <c r="A38" s="3" t="s">
        <v>44</v>
      </c>
      <c r="B38" s="76" t="s">
        <v>13</v>
      </c>
      <c r="C38" s="40">
        <v>12300</v>
      </c>
    </row>
    <row r="39" spans="1:5" ht="24" customHeight="1">
      <c r="A39" s="3" t="s">
        <v>46</v>
      </c>
      <c r="B39" s="76" t="s">
        <v>47</v>
      </c>
      <c r="C39" s="40">
        <v>6700</v>
      </c>
    </row>
    <row r="40" spans="1:5" ht="15" customHeight="1">
      <c r="A40" s="3" t="s">
        <v>48</v>
      </c>
      <c r="B40" s="76" t="s">
        <v>161</v>
      </c>
      <c r="C40" s="40"/>
    </row>
    <row r="41" spans="1:5" ht="15" customHeight="1">
      <c r="A41" s="5" t="s">
        <v>50</v>
      </c>
      <c r="B41" s="78"/>
      <c r="C41" s="41"/>
    </row>
    <row r="42" spans="1:5" ht="15" customHeight="1">
      <c r="A42" s="3" t="s">
        <v>57</v>
      </c>
      <c r="B42" s="76" t="s">
        <v>13</v>
      </c>
      <c r="C42" s="40">
        <f>3104+2041</f>
        <v>5145</v>
      </c>
    </row>
    <row r="43" spans="1:5" ht="15" customHeight="1">
      <c r="A43" s="3" t="s">
        <v>164</v>
      </c>
      <c r="B43" s="76" t="s">
        <v>13</v>
      </c>
      <c r="C43" s="40"/>
    </row>
    <row r="44" spans="1:5" ht="15" customHeight="1">
      <c r="A44" s="5" t="s">
        <v>27</v>
      </c>
      <c r="B44" s="5"/>
      <c r="C44" s="41">
        <f>SUM(C29:C43)</f>
        <v>96905</v>
      </c>
    </row>
    <row r="45" spans="1:5" ht="15" customHeight="1">
      <c r="A45" s="42" t="s">
        <v>54</v>
      </c>
      <c r="B45" s="42"/>
      <c r="C45" s="43">
        <f>C26+C44</f>
        <v>308850.81564503053</v>
      </c>
    </row>
    <row r="46" spans="1:5" ht="15" customHeight="1">
      <c r="A46" s="110"/>
      <c r="B46" s="110"/>
      <c r="C46" s="111"/>
      <c r="D46" s="92"/>
      <c r="E46" s="92"/>
    </row>
    <row r="47" spans="1:5" ht="15" customHeight="1">
      <c r="A47" s="110"/>
      <c r="B47" s="110"/>
      <c r="C47" s="111"/>
      <c r="D47" s="92"/>
      <c r="E47" s="92"/>
    </row>
    <row r="48" spans="1:5" ht="15" customHeight="1">
      <c r="A48" s="77"/>
      <c r="C48" s="8"/>
    </row>
    <row r="49" spans="1:2" ht="15" customHeight="1">
      <c r="A49" s="127" t="s">
        <v>62</v>
      </c>
      <c r="B49" s="128"/>
    </row>
    <row r="50" spans="1:2" ht="15" customHeight="1"/>
    <row r="51" spans="1:2" ht="15" customHeight="1"/>
    <row r="52" spans="1:2" ht="15" customHeight="1"/>
  </sheetData>
  <mergeCells count="3">
    <mergeCell ref="A49:B49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B3" sqref="B3"/>
    </sheetView>
  </sheetViews>
  <sheetFormatPr defaultRowHeight="15"/>
  <cols>
    <col min="1" max="1" width="64.28515625" style="45" customWidth="1"/>
    <col min="2" max="2" width="19.85546875" style="45" customWidth="1"/>
    <col min="3" max="3" width="18.42578125" style="45" customWidth="1"/>
    <col min="4" max="4" width="9.140625" style="45"/>
  </cols>
  <sheetData>
    <row r="1" spans="1:3">
      <c r="A1" s="44" t="s">
        <v>0</v>
      </c>
    </row>
    <row r="2" spans="1:3">
      <c r="A2" s="44" t="s">
        <v>55</v>
      </c>
    </row>
    <row r="3" spans="1:3">
      <c r="A3" s="44" t="s">
        <v>1</v>
      </c>
      <c r="B3" s="126" t="s">
        <v>202</v>
      </c>
    </row>
    <row r="4" spans="1:3">
      <c r="A4" s="44" t="s">
        <v>56</v>
      </c>
    </row>
    <row r="5" spans="1:3">
      <c r="A5" s="44" t="s">
        <v>2</v>
      </c>
    </row>
    <row r="6" spans="1:3">
      <c r="A6" s="46"/>
    </row>
    <row r="7" spans="1:3">
      <c r="A7" s="47" t="s">
        <v>111</v>
      </c>
      <c r="B7" s="48">
        <f>площади!F27</f>
        <v>4406.1000000000004</v>
      </c>
    </row>
    <row r="8" spans="1:3" ht="15" customHeight="1">
      <c r="A8" s="134" t="s">
        <v>3</v>
      </c>
      <c r="B8" s="135" t="s">
        <v>107</v>
      </c>
    </row>
    <row r="9" spans="1:3" ht="15" customHeight="1">
      <c r="A9" s="134"/>
      <c r="B9" s="136"/>
    </row>
    <row r="10" spans="1:3" ht="15" customHeight="1">
      <c r="A10" s="49" t="s">
        <v>59</v>
      </c>
      <c r="B10" s="50">
        <v>449915.68</v>
      </c>
    </row>
    <row r="11" spans="1:3" ht="15" customHeight="1">
      <c r="A11" s="49" t="s">
        <v>4</v>
      </c>
      <c r="B11" s="50">
        <v>1159963.2</v>
      </c>
    </row>
    <row r="12" spans="1:3" ht="15" customHeight="1">
      <c r="A12" s="49" t="s">
        <v>5</v>
      </c>
      <c r="B12" s="50">
        <v>1109271.27</v>
      </c>
    </row>
    <row r="13" spans="1:3" ht="15" customHeight="1">
      <c r="A13" s="49" t="s">
        <v>60</v>
      </c>
      <c r="B13" s="50">
        <v>505946.61</v>
      </c>
    </row>
    <row r="14" spans="1:3" ht="15" customHeight="1">
      <c r="A14" s="51"/>
    </row>
    <row r="15" spans="1:3" ht="15" customHeight="1">
      <c r="A15" s="52" t="s">
        <v>6</v>
      </c>
      <c r="B15" s="53"/>
      <c r="C15" s="53"/>
    </row>
    <row r="16" spans="1:3" ht="15" customHeight="1">
      <c r="A16" s="54" t="s">
        <v>7</v>
      </c>
      <c r="B16" s="54" t="s">
        <v>8</v>
      </c>
      <c r="C16" s="54" t="s">
        <v>9</v>
      </c>
    </row>
    <row r="17" spans="1:4" ht="15" customHeight="1">
      <c r="A17" s="55" t="s">
        <v>10</v>
      </c>
      <c r="B17" s="79" t="s">
        <v>11</v>
      </c>
      <c r="C17" s="56">
        <f>3941*0.44*1.45*2.1*1.22*12</f>
        <v>77301.422351999994</v>
      </c>
    </row>
    <row r="18" spans="1:4" ht="15" customHeight="1">
      <c r="A18" s="55" t="s">
        <v>12</v>
      </c>
      <c r="B18" s="79" t="s">
        <v>13</v>
      </c>
      <c r="C18" s="56">
        <f>0.07*B7*5</f>
        <v>1542.1350000000004</v>
      </c>
    </row>
    <row r="19" spans="1:4" ht="15" customHeight="1">
      <c r="A19" s="55" t="s">
        <v>14</v>
      </c>
      <c r="B19" s="79" t="s">
        <v>13</v>
      </c>
      <c r="C19" s="56">
        <f>4*978*5</f>
        <v>19560</v>
      </c>
    </row>
    <row r="20" spans="1:4" ht="15" customHeight="1">
      <c r="A20" s="55" t="s">
        <v>15</v>
      </c>
      <c r="B20" s="79" t="s">
        <v>16</v>
      </c>
      <c r="C20" s="56">
        <f>B7*'общие данные '!C7/'общие данные '!B1</f>
        <v>125922.82896469958</v>
      </c>
    </row>
    <row r="21" spans="1:4" ht="15" customHeight="1">
      <c r="A21" s="55" t="s">
        <v>17</v>
      </c>
      <c r="B21" s="79" t="s">
        <v>13</v>
      </c>
      <c r="C21" s="56">
        <f>B7*'общие данные '!C11/'общие данные '!B1</f>
        <v>898.6417669554213</v>
      </c>
    </row>
    <row r="22" spans="1:4" ht="15" customHeight="1">
      <c r="A22" s="55" t="s">
        <v>18</v>
      </c>
      <c r="B22" s="79" t="s">
        <v>19</v>
      </c>
      <c r="C22" s="56">
        <f>3941*0.33*1.45*2.1*1.22*12</f>
        <v>57976.066764000003</v>
      </c>
    </row>
    <row r="23" spans="1:4" ht="15" customHeight="1">
      <c r="A23" s="55" t="s">
        <v>20</v>
      </c>
      <c r="B23" s="79" t="s">
        <v>21</v>
      </c>
      <c r="C23" s="56"/>
    </row>
    <row r="24" spans="1:4" ht="60" customHeight="1">
      <c r="A24" s="57" t="s">
        <v>22</v>
      </c>
      <c r="B24" s="79" t="s">
        <v>23</v>
      </c>
      <c r="C24" s="56">
        <f>B7*'общие данные '!E13/'общие данные '!B1</f>
        <v>377937.29005276522</v>
      </c>
    </row>
    <row r="25" spans="1:4" s="7" customFormat="1" ht="15" customHeight="1">
      <c r="A25" s="55" t="s">
        <v>24</v>
      </c>
      <c r="B25" s="58" t="s">
        <v>25</v>
      </c>
      <c r="C25" s="56">
        <f>0.82*B7*12+B7*'общие данные '!C8/'общие данные '!B1</f>
        <v>61714.074142817459</v>
      </c>
      <c r="D25" s="59"/>
    </row>
    <row r="26" spans="1:4" s="7" customFormat="1" ht="15" customHeight="1">
      <c r="A26" s="55" t="s">
        <v>26</v>
      </c>
      <c r="B26" s="58" t="s">
        <v>25</v>
      </c>
      <c r="C26" s="56"/>
      <c r="D26" s="59"/>
    </row>
    <row r="27" spans="1:4" s="7" customFormat="1" ht="15" customHeight="1">
      <c r="A27" s="49" t="s">
        <v>27</v>
      </c>
      <c r="B27" s="55"/>
      <c r="C27" s="56">
        <f>SUM(C17:C26)</f>
        <v>722852.45904323761</v>
      </c>
      <c r="D27" s="59"/>
    </row>
    <row r="28" spans="1:4" ht="15" customHeight="1">
      <c r="A28" s="52" t="s">
        <v>28</v>
      </c>
      <c r="B28" s="53"/>
      <c r="C28" s="53"/>
    </row>
    <row r="29" spans="1:4" ht="15" customHeight="1">
      <c r="A29" s="55" t="s">
        <v>108</v>
      </c>
      <c r="B29" s="58" t="s">
        <v>8</v>
      </c>
      <c r="C29" s="58" t="s">
        <v>9</v>
      </c>
    </row>
    <row r="30" spans="1:4" ht="15" customHeight="1">
      <c r="A30" s="55" t="s">
        <v>29</v>
      </c>
      <c r="B30" s="58" t="s">
        <v>33</v>
      </c>
      <c r="C30" s="56"/>
    </row>
    <row r="31" spans="1:4" ht="15" customHeight="1">
      <c r="A31" s="55" t="s">
        <v>30</v>
      </c>
      <c r="B31" s="58" t="s">
        <v>31</v>
      </c>
      <c r="C31" s="60"/>
    </row>
    <row r="32" spans="1:4" ht="15" customHeight="1">
      <c r="A32" s="55" t="s">
        <v>32</v>
      </c>
      <c r="B32" s="58" t="s">
        <v>33</v>
      </c>
      <c r="C32" s="56"/>
    </row>
    <row r="33" spans="1:3" ht="15" customHeight="1">
      <c r="A33" s="55" t="s">
        <v>109</v>
      </c>
      <c r="B33" s="58"/>
      <c r="C33" s="56"/>
    </row>
    <row r="34" spans="1:3" ht="15" customHeight="1">
      <c r="A34" s="55" t="s">
        <v>34</v>
      </c>
      <c r="B34" s="58" t="s">
        <v>33</v>
      </c>
      <c r="C34" s="56"/>
    </row>
    <row r="35" spans="1:3" ht="15" customHeight="1">
      <c r="A35" s="55" t="s">
        <v>35</v>
      </c>
      <c r="B35" s="58"/>
      <c r="C35" s="56"/>
    </row>
    <row r="36" spans="1:3" ht="15" customHeight="1">
      <c r="A36" s="55" t="s">
        <v>36</v>
      </c>
      <c r="B36" s="58" t="s">
        <v>31</v>
      </c>
      <c r="C36" s="56"/>
    </row>
    <row r="37" spans="1:3" ht="15" customHeight="1">
      <c r="A37" s="55" t="s">
        <v>37</v>
      </c>
      <c r="B37" s="58" t="s">
        <v>31</v>
      </c>
      <c r="C37" s="56"/>
    </row>
    <row r="38" spans="1:3" ht="15" customHeight="1">
      <c r="A38" s="55" t="s">
        <v>38</v>
      </c>
      <c r="B38" s="58" t="s">
        <v>31</v>
      </c>
      <c r="C38" s="56"/>
    </row>
    <row r="39" spans="1:3" ht="15" customHeight="1">
      <c r="A39" s="55" t="s">
        <v>39</v>
      </c>
      <c r="B39" s="58" t="s">
        <v>40</v>
      </c>
      <c r="C39" s="56"/>
    </row>
    <row r="40" spans="1:3" ht="15" customHeight="1">
      <c r="A40" s="55" t="s">
        <v>41</v>
      </c>
      <c r="B40" s="58" t="s">
        <v>31</v>
      </c>
      <c r="C40" s="56"/>
    </row>
    <row r="41" spans="1:3" ht="15" customHeight="1">
      <c r="A41" s="55" t="s">
        <v>42</v>
      </c>
      <c r="B41" s="58" t="s">
        <v>43</v>
      </c>
      <c r="C41" s="56"/>
    </row>
    <row r="42" spans="1:3" ht="15" customHeight="1">
      <c r="A42" s="55" t="s">
        <v>44</v>
      </c>
      <c r="B42" s="58" t="s">
        <v>45</v>
      </c>
      <c r="C42" s="56"/>
    </row>
    <row r="43" spans="1:3" ht="15" customHeight="1">
      <c r="A43" s="55" t="s">
        <v>46</v>
      </c>
      <c r="B43" s="79" t="s">
        <v>47</v>
      </c>
      <c r="C43" s="56"/>
    </row>
    <row r="44" spans="1:3" ht="15" customHeight="1">
      <c r="A44" s="55" t="s">
        <v>48</v>
      </c>
      <c r="B44" s="79" t="s">
        <v>49</v>
      </c>
      <c r="C44" s="56"/>
    </row>
    <row r="45" spans="1:3" ht="15" customHeight="1">
      <c r="A45" s="55" t="s">
        <v>50</v>
      </c>
      <c r="B45" s="58"/>
      <c r="C45" s="56"/>
    </row>
    <row r="46" spans="1:3" ht="15" customHeight="1">
      <c r="A46" s="55" t="s">
        <v>58</v>
      </c>
      <c r="B46" s="58" t="s">
        <v>31</v>
      </c>
      <c r="C46" s="56"/>
    </row>
    <row r="47" spans="1:3" ht="15" customHeight="1">
      <c r="A47" s="55" t="s">
        <v>57</v>
      </c>
      <c r="B47" s="58" t="s">
        <v>31</v>
      </c>
      <c r="C47" s="56"/>
    </row>
    <row r="48" spans="1:3" ht="15" customHeight="1">
      <c r="A48" s="55" t="s">
        <v>51</v>
      </c>
      <c r="B48" s="58" t="s">
        <v>31</v>
      </c>
      <c r="C48" s="56"/>
    </row>
    <row r="49" spans="1:3" ht="15" customHeight="1">
      <c r="A49" s="55" t="s">
        <v>52</v>
      </c>
      <c r="B49" s="58" t="s">
        <v>53</v>
      </c>
      <c r="C49" s="56"/>
    </row>
    <row r="50" spans="1:3" ht="15" customHeight="1">
      <c r="A50" s="49" t="s">
        <v>27</v>
      </c>
      <c r="B50" s="49"/>
      <c r="C50" s="61"/>
    </row>
    <row r="51" spans="1:3" ht="15" customHeight="1">
      <c r="A51" s="62" t="s">
        <v>54</v>
      </c>
      <c r="B51" s="62"/>
      <c r="C51" s="63"/>
    </row>
    <row r="52" spans="1:3">
      <c r="A52" s="64"/>
    </row>
    <row r="53" spans="1:3">
      <c r="A53" s="132" t="s">
        <v>62</v>
      </c>
      <c r="B53" s="133"/>
    </row>
  </sheetData>
  <mergeCells count="3">
    <mergeCell ref="A53:B53"/>
    <mergeCell ref="A8:A9"/>
    <mergeCell ref="B8:B9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22" workbookViewId="0">
      <selection activeCell="D45" sqref="D45"/>
    </sheetView>
  </sheetViews>
  <sheetFormatPr defaultRowHeight="15"/>
  <cols>
    <col min="1" max="1" width="66.8554687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132</v>
      </c>
    </row>
    <row r="6" spans="1:3">
      <c r="A6" s="33"/>
    </row>
    <row r="7" spans="1:3">
      <c r="A7" s="34" t="s">
        <v>111</v>
      </c>
      <c r="B7" s="38">
        <v>927.4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3941*0.22*1.45*2.1*1.22*12/2</f>
        <v>19325.355587999999</v>
      </c>
    </row>
    <row r="18" spans="1:3" ht="15" customHeight="1">
      <c r="A18" s="3" t="s">
        <v>12</v>
      </c>
      <c r="B18" s="76" t="s">
        <v>13</v>
      </c>
      <c r="C18" s="40">
        <f>0.07*B7*5/2</f>
        <v>162.29500000000002</v>
      </c>
    </row>
    <row r="19" spans="1:3" ht="15" customHeight="1">
      <c r="A19" s="3" t="s">
        <v>14</v>
      </c>
      <c r="B19" s="76" t="s">
        <v>13</v>
      </c>
      <c r="C19" s="40">
        <f>4*394.3*5/2</f>
        <v>3943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13252.176707503504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</f>
        <v>189.14694960950902</v>
      </c>
    </row>
    <row r="22" spans="1:3" ht="15" customHeight="1">
      <c r="A22" s="3" t="s">
        <v>18</v>
      </c>
      <c r="B22" s="76" t="s">
        <v>154</v>
      </c>
      <c r="C22" s="40">
        <f>3941*0.14*1.45*2.1*1.22*12/2</f>
        <v>12297.953556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39774.295044930259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11057.625680040048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100001.84852608331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>
        <v>1052</v>
      </c>
    </row>
    <row r="31" spans="1:3" ht="15" customHeight="1">
      <c r="A31" s="3" t="s">
        <v>175</v>
      </c>
      <c r="B31" s="76" t="s">
        <v>13</v>
      </c>
      <c r="C31" s="40">
        <v>117411</v>
      </c>
    </row>
    <row r="32" spans="1:3" ht="15" customHeight="1">
      <c r="A32" s="3" t="s">
        <v>159</v>
      </c>
      <c r="B32" s="76" t="s">
        <v>13</v>
      </c>
      <c r="C32" s="40">
        <v>430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</f>
        <v>7274.179188256303</v>
      </c>
    </row>
    <row r="35" spans="1:3" ht="15" customHeight="1">
      <c r="A35" s="3" t="s">
        <v>162</v>
      </c>
      <c r="B35" s="76" t="s">
        <v>13</v>
      </c>
      <c r="C35" s="40">
        <f>175*15</f>
        <v>2625</v>
      </c>
    </row>
    <row r="36" spans="1:3" ht="15" customHeight="1">
      <c r="A36" s="3" t="s">
        <v>39</v>
      </c>
      <c r="B36" s="76" t="s">
        <v>13</v>
      </c>
      <c r="C36" s="40">
        <v>3354</v>
      </c>
    </row>
    <row r="37" spans="1:3" ht="15" customHeight="1">
      <c r="A37" s="3" t="s">
        <v>42</v>
      </c>
      <c r="B37" s="76" t="s">
        <v>13</v>
      </c>
      <c r="C37" s="40">
        <v>13671</v>
      </c>
    </row>
    <row r="38" spans="1:3" ht="15" customHeight="1">
      <c r="A38" s="3" t="s">
        <v>44</v>
      </c>
      <c r="B38" s="76" t="s">
        <v>13</v>
      </c>
      <c r="C38" s="40">
        <v>8475</v>
      </c>
    </row>
    <row r="39" spans="1:3" ht="24" customHeight="1">
      <c r="A39" s="3" t="s">
        <v>46</v>
      </c>
      <c r="B39" s="76" t="s">
        <v>47</v>
      </c>
      <c r="C39" s="40">
        <v>7475</v>
      </c>
    </row>
    <row r="40" spans="1:3" ht="15" customHeight="1">
      <c r="A40" s="3" t="s">
        <v>48</v>
      </c>
      <c r="B40" s="76" t="s">
        <v>161</v>
      </c>
      <c r="C40" s="40">
        <v>6850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790</v>
      </c>
    </row>
    <row r="43" spans="1:3" ht="15" customHeight="1">
      <c r="A43" s="3" t="s">
        <v>164</v>
      </c>
      <c r="B43" s="76" t="s">
        <v>13</v>
      </c>
      <c r="C43" s="40">
        <v>5640</v>
      </c>
    </row>
    <row r="44" spans="1:3" ht="15" customHeight="1">
      <c r="A44" s="5" t="s">
        <v>27</v>
      </c>
      <c r="B44" s="5"/>
      <c r="C44" s="41">
        <f>SUM(C29:C43)</f>
        <v>175047.1791882563</v>
      </c>
    </row>
    <row r="45" spans="1:3" ht="15" customHeight="1">
      <c r="A45" s="42" t="s">
        <v>54</v>
      </c>
      <c r="B45" s="42"/>
      <c r="C45" s="43">
        <f>C26+C44</f>
        <v>275049.02771433961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>
      <selection activeCell="B13" sqref="B10:B13"/>
    </sheetView>
  </sheetViews>
  <sheetFormatPr defaultRowHeight="15"/>
  <cols>
    <col min="1" max="1" width="67.57031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133</v>
      </c>
    </row>
    <row r="6" spans="1:3">
      <c r="A6" s="33"/>
    </row>
    <row r="7" spans="1:3">
      <c r="A7" s="34" t="s">
        <v>111</v>
      </c>
      <c r="B7" s="38">
        <v>1978.6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3941*0.41*1.45*2.1*1.22*12/2</f>
        <v>36015.435413999992</v>
      </c>
    </row>
    <row r="18" spans="1:3" ht="15" customHeight="1">
      <c r="A18" s="3" t="s">
        <v>12</v>
      </c>
      <c r="B18" s="76" t="s">
        <v>13</v>
      </c>
      <c r="C18" s="40">
        <f>0.07*B7*5/2</f>
        <v>346.255</v>
      </c>
    </row>
    <row r="19" spans="1:3" ht="15" customHeight="1">
      <c r="A19" s="3" t="s">
        <v>14</v>
      </c>
      <c r="B19" s="76" t="s">
        <v>13</v>
      </c>
      <c r="C19" s="40">
        <f>4*1266.5*5/2</f>
        <v>12665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28273.406117604522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201.77170287760109</v>
      </c>
    </row>
    <row r="22" spans="1:3" ht="15" customHeight="1">
      <c r="A22" s="3" t="s">
        <v>18</v>
      </c>
      <c r="B22" s="76" t="s">
        <v>154</v>
      </c>
      <c r="C22" s="40">
        <f>3941*0.27*1.45*2.1*1.22*12/2</f>
        <v>23717.481858000006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'!B1*0.7/2</f>
        <v>59400.683764426678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23591.350194659521</v>
      </c>
    </row>
    <row r="25" spans="1:3" s="7" customFormat="1" ht="15" customHeight="1">
      <c r="A25" s="3" t="s">
        <v>26</v>
      </c>
      <c r="B25" s="76" t="s">
        <v>25</v>
      </c>
      <c r="C25" s="40">
        <v>16650</v>
      </c>
    </row>
    <row r="26" spans="1:3" s="7" customFormat="1" ht="15" customHeight="1">
      <c r="A26" s="5" t="s">
        <v>27</v>
      </c>
      <c r="B26" s="3"/>
      <c r="C26" s="40">
        <f>SUM(C17:C25)</f>
        <v>200861.38405156831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19440</v>
      </c>
    </row>
    <row r="30" spans="1:3" ht="15" customHeight="1">
      <c r="A30" s="3" t="s">
        <v>156</v>
      </c>
      <c r="B30" s="76" t="s">
        <v>13</v>
      </c>
      <c r="C30" s="40">
        <v>20160</v>
      </c>
    </row>
    <row r="31" spans="1:3" ht="15" customHeight="1">
      <c r="A31" s="3" t="s">
        <v>175</v>
      </c>
      <c r="B31" s="76" t="s">
        <v>13</v>
      </c>
      <c r="C31" s="40">
        <v>2206</v>
      </c>
    </row>
    <row r="32" spans="1:3" ht="15" customHeight="1">
      <c r="A32" s="3" t="s">
        <v>159</v>
      </c>
      <c r="B32" s="76" t="s">
        <v>13</v>
      </c>
      <c r="C32" s="40">
        <v>607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63628</v>
      </c>
    </row>
    <row r="35" spans="1:3" ht="15" customHeight="1">
      <c r="A35" s="3" t="s">
        <v>162</v>
      </c>
      <c r="B35" s="76" t="s">
        <v>13</v>
      </c>
      <c r="C35" s="40">
        <v>19358</v>
      </c>
    </row>
    <row r="36" spans="1:3" ht="15" customHeight="1">
      <c r="A36" s="3" t="s">
        <v>39</v>
      </c>
      <c r="B36" s="76" t="s">
        <v>13</v>
      </c>
      <c r="C36" s="40">
        <v>8256</v>
      </c>
    </row>
    <row r="37" spans="1:3" ht="15" customHeight="1">
      <c r="A37" s="3" t="s">
        <v>42</v>
      </c>
      <c r="B37" s="76" t="s">
        <v>13</v>
      </c>
      <c r="C37" s="40">
        <v>18416</v>
      </c>
    </row>
    <row r="38" spans="1:3" ht="15" customHeight="1">
      <c r="A38" s="3" t="s">
        <v>44</v>
      </c>
      <c r="B38" s="76" t="s">
        <v>13</v>
      </c>
      <c r="C38" s="40">
        <v>14100</v>
      </c>
    </row>
    <row r="39" spans="1:3" ht="21.75" customHeight="1">
      <c r="A39" s="3" t="s">
        <v>46</v>
      </c>
      <c r="B39" s="76" t="s">
        <v>47</v>
      </c>
      <c r="C39" s="40">
        <v>12100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960</v>
      </c>
    </row>
    <row r="43" spans="1:3" ht="15" customHeight="1">
      <c r="A43" s="3" t="s">
        <v>164</v>
      </c>
      <c r="B43" s="76" t="s">
        <v>13</v>
      </c>
      <c r="C43" s="40">
        <v>12736</v>
      </c>
    </row>
    <row r="44" spans="1:3" ht="15" customHeight="1">
      <c r="A44" s="5" t="s">
        <v>27</v>
      </c>
      <c r="B44" s="5"/>
      <c r="C44" s="41">
        <f>SUM(C29:C43)</f>
        <v>200817</v>
      </c>
    </row>
    <row r="45" spans="1:3" ht="15" customHeight="1">
      <c r="A45" s="42" t="s">
        <v>54</v>
      </c>
      <c r="B45" s="42"/>
      <c r="C45" s="43">
        <f>C44+C26</f>
        <v>401678.38405156834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2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10" workbookViewId="0">
      <selection activeCell="B13" sqref="B10:B13"/>
    </sheetView>
  </sheetViews>
  <sheetFormatPr defaultRowHeight="15"/>
  <cols>
    <col min="1" max="1" width="65.425781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134</v>
      </c>
    </row>
    <row r="6" spans="1:3">
      <c r="A6" s="33"/>
    </row>
    <row r="7" spans="1:3">
      <c r="A7" s="34" t="s">
        <v>111</v>
      </c>
      <c r="B7" s="38">
        <v>3257.3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3941*1.46*1.45*2.1*1.22*12*0.75/2</f>
        <v>96187.565313000014</v>
      </c>
    </row>
    <row r="18" spans="1:3" ht="15" customHeight="1">
      <c r="A18" s="3" t="s">
        <v>12</v>
      </c>
      <c r="B18" s="76" t="s">
        <v>13</v>
      </c>
      <c r="C18" s="40">
        <f>0.07*B7*5/2</f>
        <v>570.02750000000003</v>
      </c>
    </row>
    <row r="19" spans="1:3" ht="15" customHeight="1">
      <c r="A19" s="3" t="s">
        <v>14</v>
      </c>
      <c r="B19" s="76" t="s">
        <v>13</v>
      </c>
      <c r="C19" s="40">
        <f>4*1171.5*5/2</f>
        <v>11715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46545.519936759942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332.16969967816141</v>
      </c>
    </row>
    <row r="22" spans="1:3" ht="15" customHeight="1">
      <c r="A22" s="3" t="s">
        <v>18</v>
      </c>
      <c r="B22" s="76" t="s">
        <v>154</v>
      </c>
      <c r="C22" s="40">
        <f>3941*0.76*1.45*2.1*1.22*12/2</f>
        <v>66760.319304000004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'!B1*0.7/2</f>
        <v>97789.268788975576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38837.614974762182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358737.48551717587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>
        <v>12161</v>
      </c>
    </row>
    <row r="31" spans="1:3" ht="15" customHeight="1">
      <c r="A31" s="3" t="s">
        <v>175</v>
      </c>
      <c r="B31" s="76" t="s">
        <v>13</v>
      </c>
      <c r="C31" s="40">
        <v>254884</v>
      </c>
    </row>
    <row r="32" spans="1:3" ht="15" customHeight="1">
      <c r="A32" s="3" t="s">
        <v>159</v>
      </c>
      <c r="B32" s="76" t="s">
        <v>13</v>
      </c>
      <c r="C32" s="40">
        <v>572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23661</v>
      </c>
    </row>
    <row r="35" spans="1:3" ht="15" customHeight="1">
      <c r="A35" s="3" t="s">
        <v>162</v>
      </c>
      <c r="B35" s="76" t="s">
        <v>13</v>
      </c>
      <c r="C35" s="40">
        <v>18599</v>
      </c>
    </row>
    <row r="36" spans="1:3" ht="15" customHeight="1">
      <c r="A36" s="3" t="s">
        <v>39</v>
      </c>
      <c r="B36" s="76" t="s">
        <v>13</v>
      </c>
      <c r="C36" s="40">
        <v>6966</v>
      </c>
    </row>
    <row r="37" spans="1:3" ht="15" customHeight="1">
      <c r="A37" s="3" t="s">
        <v>42</v>
      </c>
      <c r="B37" s="76" t="s">
        <v>13</v>
      </c>
      <c r="C37" s="40">
        <v>8629</v>
      </c>
    </row>
    <row r="38" spans="1:3" ht="15" customHeight="1">
      <c r="A38" s="3" t="s">
        <v>44</v>
      </c>
      <c r="B38" s="76" t="s">
        <v>13</v>
      </c>
      <c r="C38" s="40">
        <v>4025</v>
      </c>
    </row>
    <row r="39" spans="1:3" ht="26.25" customHeight="1">
      <c r="A39" s="3" t="s">
        <v>46</v>
      </c>
      <c r="B39" s="76" t="s">
        <v>47</v>
      </c>
      <c r="C39" s="40">
        <v>4025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7060</v>
      </c>
    </row>
    <row r="43" spans="1:3" ht="15" customHeight="1">
      <c r="A43" s="3" t="s">
        <v>164</v>
      </c>
      <c r="B43" s="76" t="s">
        <v>13</v>
      </c>
      <c r="C43" s="40">
        <v>7280</v>
      </c>
    </row>
    <row r="44" spans="1:3" ht="15" customHeight="1">
      <c r="A44" s="5" t="s">
        <v>27</v>
      </c>
      <c r="B44" s="5"/>
      <c r="C44" s="41">
        <f>SUM(C29:C43)</f>
        <v>356712</v>
      </c>
    </row>
    <row r="45" spans="1:3" ht="15" customHeight="1">
      <c r="A45" s="42" t="s">
        <v>54</v>
      </c>
      <c r="B45" s="42"/>
      <c r="C45" s="43">
        <f>C26+C44</f>
        <v>715449.48551717587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4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>
      <selection activeCell="B5" sqref="B5"/>
    </sheetView>
  </sheetViews>
  <sheetFormatPr defaultRowHeight="15"/>
  <cols>
    <col min="1" max="1" width="66.28515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  <c r="B3" s="124" t="s">
        <v>210</v>
      </c>
    </row>
    <row r="4" spans="1:3">
      <c r="A4" s="32" t="s">
        <v>188</v>
      </c>
    </row>
    <row r="5" spans="1:3">
      <c r="A5" s="32" t="s">
        <v>135</v>
      </c>
    </row>
    <row r="6" spans="1:3">
      <c r="A6" s="33"/>
    </row>
    <row r="7" spans="1:3">
      <c r="A7" s="34" t="s">
        <v>111</v>
      </c>
      <c r="B7" s="38">
        <v>2900.7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39"/>
    </row>
    <row r="11" spans="1:3" ht="15" customHeight="1">
      <c r="A11" s="5" t="s">
        <v>4</v>
      </c>
      <c r="B11" s="39"/>
    </row>
    <row r="12" spans="1:3" ht="15" customHeight="1">
      <c r="A12" s="5" t="s">
        <v>5</v>
      </c>
      <c r="B12" s="39"/>
    </row>
    <row r="13" spans="1:3" ht="15" customHeight="1">
      <c r="A13" s="5" t="s">
        <v>190</v>
      </c>
      <c r="B13" s="39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3941*0.99*1.45*2.1*1.22*12/2</f>
        <v>86964.100146000012</v>
      </c>
    </row>
    <row r="18" spans="1:3" ht="15" customHeight="1">
      <c r="A18" s="3" t="s">
        <v>12</v>
      </c>
      <c r="B18" s="76" t="s">
        <v>13</v>
      </c>
      <c r="C18" s="40">
        <f>0.07*B7*5/2</f>
        <v>507.6225</v>
      </c>
    </row>
    <row r="19" spans="1:3" ht="15" customHeight="1">
      <c r="A19" s="3" t="s">
        <v>14</v>
      </c>
      <c r="B19" s="76" t="s">
        <v>13</v>
      </c>
      <c r="C19" s="40">
        <f>4*1008*5/2</f>
        <v>10080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41449.847935578407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295.80469955375395</v>
      </c>
    </row>
    <row r="22" spans="1:3" ht="15" customHeight="1">
      <c r="A22" s="3" t="s">
        <v>18</v>
      </c>
      <c r="B22" s="76" t="s">
        <v>154</v>
      </c>
      <c r="C22" s="40">
        <f>3941*0.34*1.45*2.1*1.22*12/2</f>
        <v>29866.458635999999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124405.10851501962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34585.782628954243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328154.72506110603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51840</v>
      </c>
    </row>
    <row r="30" spans="1:3" ht="15" customHeight="1">
      <c r="A30" s="3" t="s">
        <v>156</v>
      </c>
      <c r="B30" s="76" t="s">
        <v>13</v>
      </c>
      <c r="C30" s="40">
        <v>24662</v>
      </c>
    </row>
    <row r="31" spans="1:3" ht="15" customHeight="1">
      <c r="A31" s="3" t="s">
        <v>175</v>
      </c>
      <c r="B31" s="76" t="s">
        <v>13</v>
      </c>
      <c r="C31" s="40">
        <v>3206</v>
      </c>
    </row>
    <row r="32" spans="1:3" ht="15" customHeight="1">
      <c r="A32" s="3" t="s">
        <v>159</v>
      </c>
      <c r="B32" s="76" t="s">
        <v>13</v>
      </c>
      <c r="C32" s="40">
        <v>1704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11204</v>
      </c>
    </row>
    <row r="35" spans="1:3" ht="15" customHeight="1">
      <c r="A35" s="3" t="s">
        <v>162</v>
      </c>
      <c r="B35" s="76" t="s">
        <v>13</v>
      </c>
      <c r="C35" s="40">
        <v>2855</v>
      </c>
    </row>
    <row r="36" spans="1:3" ht="15" customHeight="1">
      <c r="A36" s="3" t="s">
        <v>39</v>
      </c>
      <c r="B36" s="76" t="s">
        <v>13</v>
      </c>
      <c r="C36" s="40">
        <v>10578</v>
      </c>
    </row>
    <row r="37" spans="1:3" ht="15" customHeight="1">
      <c r="A37" s="3" t="s">
        <v>42</v>
      </c>
      <c r="B37" s="76" t="s">
        <v>13</v>
      </c>
      <c r="C37" s="40">
        <v>25431</v>
      </c>
    </row>
    <row r="38" spans="1:3" ht="15" customHeight="1">
      <c r="A38" s="3" t="s">
        <v>44</v>
      </c>
      <c r="B38" s="76" t="s">
        <v>13</v>
      </c>
      <c r="C38" s="40">
        <v>31950</v>
      </c>
    </row>
    <row r="39" spans="1:3" ht="26.25" customHeight="1">
      <c r="A39" s="3" t="s">
        <v>46</v>
      </c>
      <c r="B39" s="76" t="s">
        <v>47</v>
      </c>
      <c r="C39" s="40">
        <v>22365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228</v>
      </c>
    </row>
    <row r="43" spans="1:3" ht="15" customHeight="1">
      <c r="A43" s="3" t="s">
        <v>164</v>
      </c>
      <c r="B43" s="76" t="s">
        <v>13</v>
      </c>
      <c r="C43" s="40">
        <v>27962</v>
      </c>
    </row>
    <row r="44" spans="1:3" ht="15" customHeight="1">
      <c r="A44" s="5" t="s">
        <v>27</v>
      </c>
      <c r="B44" s="5"/>
      <c r="C44" s="41">
        <f>SUM(C29:C43)</f>
        <v>222835</v>
      </c>
    </row>
    <row r="45" spans="1:3" ht="15" customHeight="1">
      <c r="A45" s="42" t="s">
        <v>54</v>
      </c>
      <c r="B45" s="42"/>
      <c r="C45" s="43">
        <f>C44+C26</f>
        <v>550989.72506110603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>
      <selection activeCell="B13" sqref="B10:B13"/>
    </sheetView>
  </sheetViews>
  <sheetFormatPr defaultRowHeight="15"/>
  <cols>
    <col min="1" max="1" width="66.140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136</v>
      </c>
    </row>
    <row r="6" spans="1:3">
      <c r="A6" s="33"/>
    </row>
    <row r="7" spans="1:3">
      <c r="A7" s="34" t="s">
        <v>111</v>
      </c>
      <c r="B7" s="38">
        <v>2698.3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3941*0.51*1.45*2.1*1.22*12/2</f>
        <v>44799.687954000008</v>
      </c>
    </row>
    <row r="18" spans="1:3" ht="15" customHeight="1">
      <c r="A18" s="3" t="s">
        <v>12</v>
      </c>
      <c r="B18" s="76" t="s">
        <v>13</v>
      </c>
      <c r="C18" s="40">
        <f>0.07*B7*5/2</f>
        <v>472.2025000000001</v>
      </c>
    </row>
    <row r="19" spans="1:3" ht="15" customHeight="1">
      <c r="A19" s="3" t="s">
        <v>14</v>
      </c>
      <c r="B19" s="76" t="s">
        <v>13</v>
      </c>
      <c r="C19" s="40">
        <f>4*1165.1*5/2</f>
        <v>11651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38557.632531654854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275.16455366149353</v>
      </c>
    </row>
    <row r="22" spans="1:3" ht="15" customHeight="1">
      <c r="A22" s="3" t="s">
        <v>18</v>
      </c>
      <c r="B22" s="76" t="s">
        <v>154</v>
      </c>
      <c r="C22" s="40">
        <f>3941*0.28*1.45*2.1*1.22*12/2</f>
        <v>24595.907112000001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115724.58520566675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32172.516036717778</v>
      </c>
    </row>
    <row r="25" spans="1:3" s="7" customFormat="1" ht="15" customHeight="1">
      <c r="A25" s="3" t="s">
        <v>26</v>
      </c>
      <c r="B25" s="76" t="s">
        <v>25</v>
      </c>
      <c r="C25" s="40">
        <v>16650</v>
      </c>
    </row>
    <row r="26" spans="1:3" s="7" customFormat="1" ht="15" customHeight="1">
      <c r="A26" s="5" t="s">
        <v>27</v>
      </c>
      <c r="B26" s="3"/>
      <c r="C26" s="40">
        <f>SUM(C17:C25)</f>
        <v>284898.69589370087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11800</v>
      </c>
    </row>
    <row r="30" spans="1:3" ht="15" customHeight="1">
      <c r="A30" s="3" t="s">
        <v>156</v>
      </c>
      <c r="B30" s="76" t="s">
        <v>13</v>
      </c>
      <c r="C30" s="40">
        <v>50378</v>
      </c>
    </row>
    <row r="31" spans="1:3" ht="15" customHeight="1">
      <c r="A31" s="3" t="s">
        <v>175</v>
      </c>
      <c r="B31" s="76" t="s">
        <v>13</v>
      </c>
      <c r="C31" s="40">
        <v>22891</v>
      </c>
    </row>
    <row r="32" spans="1:3" ht="15" customHeight="1">
      <c r="A32" s="3" t="s">
        <v>159</v>
      </c>
      <c r="B32" s="76" t="s">
        <v>13</v>
      </c>
      <c r="C32" s="40">
        <v>1067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4131</v>
      </c>
    </row>
    <row r="35" spans="1:3" ht="15" customHeight="1">
      <c r="A35" s="3" t="s">
        <v>162</v>
      </c>
      <c r="B35" s="76" t="s">
        <v>13</v>
      </c>
      <c r="C35" s="40">
        <v>30367</v>
      </c>
    </row>
    <row r="36" spans="1:3" ht="15" customHeight="1">
      <c r="A36" s="3" t="s">
        <v>39</v>
      </c>
      <c r="B36" s="76" t="s">
        <v>13</v>
      </c>
      <c r="C36" s="40">
        <v>10320</v>
      </c>
    </row>
    <row r="37" spans="1:3" ht="15" customHeight="1">
      <c r="A37" s="3" t="s">
        <v>42</v>
      </c>
      <c r="B37" s="76" t="s">
        <v>13</v>
      </c>
      <c r="C37" s="40">
        <v>20666</v>
      </c>
    </row>
    <row r="38" spans="1:3" ht="15" customHeight="1">
      <c r="A38" s="3" t="s">
        <v>44</v>
      </c>
      <c r="B38" s="76" t="s">
        <v>13</v>
      </c>
      <c r="C38" s="40">
        <v>11850</v>
      </c>
    </row>
    <row r="39" spans="1:3" ht="21.75" customHeight="1">
      <c r="A39" s="3" t="s">
        <v>46</v>
      </c>
      <c r="B39" s="76" t="s">
        <v>47</v>
      </c>
      <c r="C39" s="40">
        <v>19750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1824</v>
      </c>
    </row>
    <row r="43" spans="1:3" ht="15" customHeight="1">
      <c r="A43" s="3" t="s">
        <v>164</v>
      </c>
      <c r="B43" s="76" t="s">
        <v>13</v>
      </c>
      <c r="C43" s="40">
        <v>21602</v>
      </c>
    </row>
    <row r="44" spans="1:3" ht="15" customHeight="1">
      <c r="A44" s="5" t="s">
        <v>27</v>
      </c>
      <c r="B44" s="5"/>
      <c r="C44" s="41">
        <f>SUM(C29:C43)</f>
        <v>215496</v>
      </c>
    </row>
    <row r="45" spans="1:3" ht="15" customHeight="1">
      <c r="A45" s="42" t="s">
        <v>54</v>
      </c>
      <c r="B45" s="42"/>
      <c r="C45" s="43">
        <f>C26+C44</f>
        <v>500394.69589370087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opLeftCell="A7" workbookViewId="0">
      <selection activeCell="D15" sqref="D15"/>
    </sheetView>
  </sheetViews>
  <sheetFormatPr defaultRowHeight="15"/>
  <cols>
    <col min="2" max="2" width="23.28515625" customWidth="1"/>
    <col min="4" max="4" width="55.42578125" customWidth="1"/>
  </cols>
  <sheetData>
    <row r="1" spans="1:5">
      <c r="A1" s="70">
        <v>1</v>
      </c>
      <c r="B1" s="69" t="s">
        <v>86</v>
      </c>
      <c r="C1" s="70">
        <v>6</v>
      </c>
      <c r="D1" s="71"/>
      <c r="E1" s="71"/>
    </row>
    <row r="2" spans="1:5">
      <c r="A2" s="70">
        <v>2</v>
      </c>
      <c r="B2" s="69" t="s">
        <v>86</v>
      </c>
      <c r="C2" s="70">
        <v>8</v>
      </c>
      <c r="D2" s="71"/>
      <c r="E2" s="71"/>
    </row>
    <row r="3" spans="1:5">
      <c r="A3" s="70">
        <v>3</v>
      </c>
      <c r="B3" s="69" t="s">
        <v>86</v>
      </c>
      <c r="C3" s="70">
        <v>10</v>
      </c>
      <c r="D3" s="71"/>
      <c r="E3" s="71"/>
    </row>
    <row r="4" spans="1:5">
      <c r="A4" s="70">
        <v>4</v>
      </c>
      <c r="B4" s="69" t="s">
        <v>86</v>
      </c>
      <c r="C4" s="70">
        <v>11</v>
      </c>
      <c r="D4" s="71"/>
      <c r="E4" s="71"/>
    </row>
    <row r="5" spans="1:5">
      <c r="A5" s="70">
        <v>5</v>
      </c>
      <c r="B5" s="69" t="s">
        <v>86</v>
      </c>
      <c r="C5" s="70">
        <v>17</v>
      </c>
      <c r="D5" s="71"/>
      <c r="E5" s="71"/>
    </row>
    <row r="6" spans="1:5">
      <c r="A6" s="70">
        <v>6</v>
      </c>
      <c r="B6" s="69" t="s">
        <v>86</v>
      </c>
      <c r="C6" s="70">
        <v>27</v>
      </c>
      <c r="D6" s="71"/>
      <c r="E6" s="71"/>
    </row>
    <row r="7" spans="1:5">
      <c r="A7" s="70">
        <v>7</v>
      </c>
      <c r="B7" s="69" t="s">
        <v>88</v>
      </c>
      <c r="C7" s="70">
        <v>61</v>
      </c>
      <c r="D7" s="71"/>
      <c r="E7" s="71"/>
    </row>
    <row r="8" spans="1:5">
      <c r="A8" s="70">
        <v>8</v>
      </c>
      <c r="B8" s="69" t="s">
        <v>88</v>
      </c>
      <c r="C8" s="70">
        <v>88</v>
      </c>
      <c r="D8" s="71"/>
      <c r="E8" s="71"/>
    </row>
    <row r="9" spans="1:5">
      <c r="A9" s="70">
        <v>9</v>
      </c>
      <c r="B9" s="69" t="s">
        <v>88</v>
      </c>
      <c r="C9" s="70">
        <v>100</v>
      </c>
      <c r="D9" s="71"/>
      <c r="E9" s="71"/>
    </row>
    <row r="10" spans="1:5">
      <c r="A10" s="70">
        <v>10</v>
      </c>
      <c r="B10" s="69" t="s">
        <v>88</v>
      </c>
      <c r="C10" s="70">
        <v>102</v>
      </c>
      <c r="D10" s="71"/>
      <c r="E10" s="71"/>
    </row>
    <row r="11" spans="1:5">
      <c r="A11" s="70">
        <v>11</v>
      </c>
      <c r="B11" s="69" t="s">
        <v>88</v>
      </c>
      <c r="C11" s="70">
        <v>106</v>
      </c>
      <c r="D11" s="71"/>
      <c r="E11" s="71"/>
    </row>
    <row r="12" spans="1:5">
      <c r="A12" s="70">
        <v>12</v>
      </c>
      <c r="B12" s="69" t="s">
        <v>88</v>
      </c>
      <c r="C12" s="70" t="s">
        <v>89</v>
      </c>
      <c r="D12" s="71"/>
      <c r="E12" s="71"/>
    </row>
    <row r="13" spans="1:5">
      <c r="A13" s="70">
        <v>13</v>
      </c>
      <c r="B13" s="69" t="s">
        <v>88</v>
      </c>
      <c r="C13" s="70">
        <v>108</v>
      </c>
      <c r="D13" s="71"/>
      <c r="E13" s="71"/>
    </row>
    <row r="14" spans="1:5">
      <c r="A14" s="70">
        <v>14</v>
      </c>
      <c r="B14" s="69" t="s">
        <v>88</v>
      </c>
      <c r="C14" s="70" t="s">
        <v>90</v>
      </c>
      <c r="D14" s="71"/>
      <c r="E14" s="71"/>
    </row>
    <row r="15" spans="1:5">
      <c r="A15" s="70">
        <v>15</v>
      </c>
      <c r="B15" s="69" t="s">
        <v>88</v>
      </c>
      <c r="C15" s="70">
        <v>147</v>
      </c>
      <c r="D15" s="71"/>
      <c r="E15" s="71"/>
    </row>
    <row r="16" spans="1:5">
      <c r="A16" s="70">
        <v>16</v>
      </c>
      <c r="B16" s="69" t="s">
        <v>91</v>
      </c>
      <c r="C16" s="70">
        <v>166</v>
      </c>
      <c r="D16" s="71"/>
      <c r="E16" s="71"/>
    </row>
    <row r="17" spans="1:5">
      <c r="A17" s="70">
        <v>17</v>
      </c>
      <c r="B17" s="69" t="s">
        <v>91</v>
      </c>
      <c r="C17" s="70">
        <v>172</v>
      </c>
      <c r="D17" s="71"/>
      <c r="E17" s="71"/>
    </row>
    <row r="18" spans="1:5">
      <c r="A18" s="70">
        <v>18</v>
      </c>
      <c r="B18" s="69" t="s">
        <v>91</v>
      </c>
      <c r="C18" s="70">
        <v>174</v>
      </c>
      <c r="D18" s="71"/>
      <c r="E18" s="71"/>
    </row>
    <row r="19" spans="1:5">
      <c r="A19" s="70">
        <v>19</v>
      </c>
      <c r="B19" s="69" t="s">
        <v>91</v>
      </c>
      <c r="C19" s="70">
        <v>180</v>
      </c>
      <c r="D19" s="71"/>
      <c r="E19" s="71"/>
    </row>
    <row r="20" spans="1:5">
      <c r="A20" s="70">
        <v>20</v>
      </c>
      <c r="B20" s="69" t="s">
        <v>91</v>
      </c>
      <c r="C20" s="70">
        <v>182</v>
      </c>
      <c r="D20" s="71"/>
      <c r="E20" s="71"/>
    </row>
    <row r="21" spans="1:5">
      <c r="A21" s="70">
        <v>21</v>
      </c>
      <c r="B21" s="69" t="s">
        <v>91</v>
      </c>
      <c r="C21" s="70">
        <v>184</v>
      </c>
      <c r="D21" s="71"/>
      <c r="E21" s="71"/>
    </row>
    <row r="22" spans="1:5">
      <c r="A22" s="70">
        <v>22</v>
      </c>
      <c r="B22" s="69" t="s">
        <v>91</v>
      </c>
      <c r="C22" s="70" t="s">
        <v>92</v>
      </c>
      <c r="D22" s="71"/>
      <c r="E22" s="71"/>
    </row>
    <row r="23" spans="1:5">
      <c r="A23" s="70">
        <v>23</v>
      </c>
      <c r="B23" s="69" t="s">
        <v>91</v>
      </c>
      <c r="C23" s="70">
        <v>242</v>
      </c>
      <c r="D23" s="71"/>
      <c r="E23" s="71"/>
    </row>
    <row r="24" spans="1:5">
      <c r="A24" s="70">
        <v>24</v>
      </c>
      <c r="B24" s="69" t="s">
        <v>91</v>
      </c>
      <c r="C24" s="70" t="s">
        <v>93</v>
      </c>
      <c r="D24" s="71"/>
      <c r="E24" s="71"/>
    </row>
    <row r="25" spans="1:5">
      <c r="A25" s="70">
        <v>25</v>
      </c>
      <c r="B25" s="69" t="s">
        <v>91</v>
      </c>
      <c r="C25" s="70">
        <v>248</v>
      </c>
      <c r="D25" s="71"/>
      <c r="E25" s="71"/>
    </row>
    <row r="26" spans="1:5">
      <c r="A26" s="70">
        <v>26</v>
      </c>
      <c r="B26" s="69" t="s">
        <v>91</v>
      </c>
      <c r="C26" s="70">
        <v>250</v>
      </c>
      <c r="D26" s="71"/>
      <c r="E26" s="71"/>
    </row>
    <row r="27" spans="1:5">
      <c r="A27" s="70">
        <v>27</v>
      </c>
      <c r="B27" s="69" t="s">
        <v>94</v>
      </c>
      <c r="C27" s="70">
        <v>4</v>
      </c>
      <c r="D27" s="71"/>
      <c r="E27" s="71"/>
    </row>
    <row r="28" spans="1:5">
      <c r="A28" s="70">
        <v>28</v>
      </c>
      <c r="B28" s="69" t="s">
        <v>94</v>
      </c>
      <c r="C28" s="70">
        <v>6</v>
      </c>
      <c r="D28" s="71"/>
      <c r="E28" s="71"/>
    </row>
    <row r="29" spans="1:5">
      <c r="A29" s="70">
        <v>29</v>
      </c>
      <c r="B29" s="69" t="s">
        <v>95</v>
      </c>
      <c r="C29" s="70">
        <v>16</v>
      </c>
      <c r="D29" s="71"/>
      <c r="E29" s="71"/>
    </row>
    <row r="30" spans="1:5">
      <c r="A30" s="70">
        <v>30</v>
      </c>
      <c r="B30" s="69" t="s">
        <v>95</v>
      </c>
      <c r="C30" s="70">
        <v>18</v>
      </c>
      <c r="D30" s="71"/>
      <c r="E30" s="71"/>
    </row>
    <row r="31" spans="1:5">
      <c r="A31" s="70">
        <v>31</v>
      </c>
      <c r="B31" s="69" t="s">
        <v>95</v>
      </c>
      <c r="C31" s="70" t="s">
        <v>96</v>
      </c>
      <c r="D31" s="71"/>
      <c r="E31" s="71"/>
    </row>
    <row r="32" spans="1:5">
      <c r="A32" s="70">
        <v>32</v>
      </c>
      <c r="B32" s="69" t="s">
        <v>97</v>
      </c>
      <c r="C32" s="70">
        <v>44</v>
      </c>
      <c r="D32" s="71"/>
      <c r="E32" s="71"/>
    </row>
    <row r="33" spans="1:5">
      <c r="A33" s="70">
        <v>33</v>
      </c>
      <c r="B33" s="69" t="s">
        <v>99</v>
      </c>
      <c r="C33" s="70">
        <v>33</v>
      </c>
      <c r="D33" s="71"/>
      <c r="E33" s="71"/>
    </row>
    <row r="34" spans="1:5">
      <c r="A34" s="70">
        <v>34</v>
      </c>
      <c r="B34" s="69" t="s">
        <v>100</v>
      </c>
      <c r="C34" s="70" t="s">
        <v>101</v>
      </c>
      <c r="D34" s="71"/>
      <c r="E34" s="71"/>
    </row>
    <row r="35" spans="1:5">
      <c r="A35" s="70">
        <v>35</v>
      </c>
      <c r="B35" s="69" t="s">
        <v>100</v>
      </c>
      <c r="C35" s="70">
        <v>64</v>
      </c>
      <c r="D35" s="71"/>
      <c r="E35" s="71"/>
    </row>
    <row r="36" spans="1:5">
      <c r="A36" s="70">
        <v>36</v>
      </c>
      <c r="B36" s="69" t="s">
        <v>102</v>
      </c>
      <c r="C36" s="75" t="s">
        <v>103</v>
      </c>
      <c r="D36" s="71"/>
      <c r="E36" s="71"/>
    </row>
    <row r="37" spans="1:5">
      <c r="A37" s="88">
        <v>37</v>
      </c>
      <c r="B37" s="89" t="s">
        <v>102</v>
      </c>
      <c r="C37" s="90" t="s">
        <v>104</v>
      </c>
      <c r="D37" s="71"/>
      <c r="E37" s="71"/>
    </row>
    <row r="38" spans="1:5">
      <c r="A38" s="70">
        <v>38</v>
      </c>
      <c r="B38" s="69" t="s">
        <v>105</v>
      </c>
      <c r="C38" s="70" t="s">
        <v>106</v>
      </c>
      <c r="D38" s="71"/>
      <c r="E38" s="71"/>
    </row>
  </sheetData>
  <pageMargins left="0.7" right="0.7" top="0.75" bottom="0.75" header="0.3" footer="0.3"/>
  <pageSetup paperSize="9" scale="82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25" workbookViewId="0">
      <selection activeCell="C45" sqref="C45"/>
    </sheetView>
  </sheetViews>
  <sheetFormatPr defaultRowHeight="15"/>
  <cols>
    <col min="1" max="1" width="66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211</v>
      </c>
    </row>
    <row r="5" spans="1:3">
      <c r="A5" s="32" t="s">
        <v>137</v>
      </c>
    </row>
    <row r="6" spans="1:3">
      <c r="A6" s="33"/>
    </row>
    <row r="7" spans="1:3">
      <c r="A7" s="34" t="s">
        <v>111</v>
      </c>
      <c r="B7" s="38">
        <v>1786.9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3941*0.43*1.45*2.1*1.22*12/2</f>
        <v>37772.285921999995</v>
      </c>
    </row>
    <row r="18" spans="1:3" ht="15" customHeight="1">
      <c r="A18" s="3" t="s">
        <v>12</v>
      </c>
      <c r="B18" s="76" t="s">
        <v>13</v>
      </c>
      <c r="C18" s="40">
        <f>0.07*B7*5/2</f>
        <v>312.70750000000004</v>
      </c>
    </row>
    <row r="19" spans="1:3" ht="15" customHeight="1">
      <c r="A19" s="3" t="s">
        <v>14</v>
      </c>
      <c r="B19" s="76" t="s">
        <v>13</v>
      </c>
      <c r="C19" s="40">
        <f>4*622*5/2</f>
        <v>6220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25534.089452920009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182.22271094308371</v>
      </c>
    </row>
    <row r="22" spans="1:3" ht="15" customHeight="1">
      <c r="A22" s="3" t="s">
        <v>18</v>
      </c>
      <c r="B22" s="76" t="s">
        <v>154</v>
      </c>
      <c r="C22" s="40">
        <f>3941*0.12*1.45*2.1*1.22*12/2</f>
        <v>10541.103047999999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76636.49753696991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21305.662419305114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178504.56859013811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6480</v>
      </c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175</v>
      </c>
      <c r="B31" s="76" t="s">
        <v>13</v>
      </c>
      <c r="C31" s="40"/>
    </row>
    <row r="32" spans="1:3" ht="15" customHeight="1">
      <c r="A32" s="3" t="s">
        <v>159</v>
      </c>
      <c r="B32" s="76" t="s">
        <v>13</v>
      </c>
      <c r="C32" s="40">
        <v>299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49678</v>
      </c>
    </row>
    <row r="35" spans="1:3" ht="15" customHeight="1">
      <c r="A35" s="3" t="s">
        <v>162</v>
      </c>
      <c r="B35" s="76" t="s">
        <v>13</v>
      </c>
      <c r="C35" s="40">
        <v>33110</v>
      </c>
    </row>
    <row r="36" spans="1:3" ht="15" customHeight="1">
      <c r="A36" s="3" t="s">
        <v>39</v>
      </c>
      <c r="B36" s="76" t="s">
        <v>13</v>
      </c>
      <c r="C36" s="40">
        <v>3612</v>
      </c>
    </row>
    <row r="37" spans="1:3" ht="15" customHeight="1">
      <c r="A37" s="3" t="s">
        <v>42</v>
      </c>
      <c r="B37" s="76" t="s">
        <v>13</v>
      </c>
      <c r="C37" s="40">
        <v>19294</v>
      </c>
    </row>
    <row r="38" spans="1:3" ht="15" customHeight="1">
      <c r="A38" s="3" t="s">
        <v>44</v>
      </c>
      <c r="B38" s="76" t="s">
        <v>13</v>
      </c>
      <c r="C38" s="40">
        <v>27575</v>
      </c>
    </row>
    <row r="39" spans="1:3" ht="22.5" customHeight="1">
      <c r="A39" s="3" t="s">
        <v>46</v>
      </c>
      <c r="B39" s="76" t="s">
        <v>47</v>
      </c>
      <c r="C39" s="40">
        <v>15575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760</v>
      </c>
    </row>
    <row r="43" spans="1:3" ht="15" customHeight="1">
      <c r="A43" s="3" t="s">
        <v>164</v>
      </c>
      <c r="B43" s="76" t="s">
        <v>13</v>
      </c>
      <c r="C43" s="40">
        <v>6820</v>
      </c>
    </row>
    <row r="44" spans="1:3" ht="15" customHeight="1">
      <c r="A44" s="5" t="s">
        <v>27</v>
      </c>
      <c r="B44" s="5"/>
      <c r="C44" s="41">
        <f>SUM(C29:C43)</f>
        <v>172053</v>
      </c>
    </row>
    <row r="45" spans="1:3" ht="15" customHeight="1">
      <c r="A45" s="42" t="s">
        <v>54</v>
      </c>
      <c r="B45" s="42"/>
      <c r="C45" s="43">
        <f>C44+C26</f>
        <v>350557.56859013811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opLeftCell="A31" workbookViewId="0">
      <selection activeCell="A55" sqref="A55"/>
    </sheetView>
  </sheetViews>
  <sheetFormatPr defaultRowHeight="15"/>
  <cols>
    <col min="1" max="1" width="66.140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138</v>
      </c>
    </row>
    <row r="6" spans="1:3">
      <c r="A6" s="33"/>
    </row>
    <row r="7" spans="1:3">
      <c r="A7" s="34" t="s">
        <v>111</v>
      </c>
      <c r="B7" s="38">
        <v>2672.2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  <c r="C10" s="118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3941*0.5*1.45*2.1*1.22*12/2</f>
        <v>43921.262699999999</v>
      </c>
    </row>
    <row r="18" spans="1:3" ht="15" customHeight="1">
      <c r="A18" s="3" t="s">
        <v>12</v>
      </c>
      <c r="B18" s="76" t="s">
        <v>13</v>
      </c>
      <c r="C18" s="40">
        <f>0.07*B7*5/2</f>
        <v>467.63499999999999</v>
      </c>
    </row>
    <row r="19" spans="1:3" ht="15" customHeight="1">
      <c r="A19" s="3" t="s">
        <v>14</v>
      </c>
      <c r="B19" s="76" t="s">
        <v>13</v>
      </c>
      <c r="C19" s="40">
        <f>4*992*5/2</f>
        <v>9920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38184.673924725968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272.50295382064371</v>
      </c>
    </row>
    <row r="22" spans="1:3" ht="15" customHeight="1">
      <c r="A22" s="3" t="s">
        <v>18</v>
      </c>
      <c r="B22" s="76" t="s">
        <v>154</v>
      </c>
      <c r="C22" s="40">
        <f>3941*0.38*1.45*2.1*1.22*12/2</f>
        <v>33380.159652000002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114605.20942318592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31861.31910955684</v>
      </c>
    </row>
    <row r="25" spans="1:3" s="7" customFormat="1" ht="15" customHeight="1">
      <c r="A25" s="3" t="s">
        <v>26</v>
      </c>
      <c r="B25" s="76" t="s">
        <v>25</v>
      </c>
      <c r="C25" s="40">
        <v>16650</v>
      </c>
    </row>
    <row r="26" spans="1:3" s="7" customFormat="1" ht="15" customHeight="1">
      <c r="A26" s="5" t="s">
        <v>27</v>
      </c>
      <c r="B26" s="3"/>
      <c r="C26" s="40">
        <f>SUM(C17:C25)</f>
        <v>289262.76276328939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24800</v>
      </c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175</v>
      </c>
      <c r="B31" s="76" t="s">
        <v>13</v>
      </c>
      <c r="C31" s="40">
        <v>12469</v>
      </c>
    </row>
    <row r="32" spans="1:3" ht="15" customHeight="1">
      <c r="A32" s="3" t="s">
        <v>159</v>
      </c>
      <c r="B32" s="76" t="s">
        <v>13</v>
      </c>
      <c r="C32" s="40">
        <f>1062+13240</f>
        <v>14302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49306</v>
      </c>
    </row>
    <row r="35" spans="1:3" ht="15" customHeight="1">
      <c r="A35" s="3" t="s">
        <v>162</v>
      </c>
      <c r="B35" s="76" t="s">
        <v>13</v>
      </c>
      <c r="C35" s="40">
        <v>62065</v>
      </c>
    </row>
    <row r="36" spans="1:3" ht="15" customHeight="1">
      <c r="A36" s="3" t="s">
        <v>39</v>
      </c>
      <c r="B36" s="76" t="s">
        <v>13</v>
      </c>
      <c r="C36" s="40">
        <v>10320</v>
      </c>
    </row>
    <row r="37" spans="1:3" ht="15" customHeight="1">
      <c r="A37" s="3" t="s">
        <v>42</v>
      </c>
      <c r="B37" s="76" t="s">
        <v>13</v>
      </c>
      <c r="C37" s="40">
        <v>21009</v>
      </c>
    </row>
    <row r="38" spans="1:3" ht="15" customHeight="1">
      <c r="A38" s="3" t="s">
        <v>44</v>
      </c>
      <c r="B38" s="76" t="s">
        <v>13</v>
      </c>
      <c r="C38" s="40">
        <v>22025</v>
      </c>
    </row>
    <row r="39" spans="1:3" ht="24" customHeight="1">
      <c r="A39" s="3" t="s">
        <v>46</v>
      </c>
      <c r="B39" s="76" t="s">
        <v>47</v>
      </c>
      <c r="C39" s="40">
        <v>12025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574</v>
      </c>
    </row>
    <row r="43" spans="1:3" ht="15" customHeight="1">
      <c r="A43" s="3" t="s">
        <v>164</v>
      </c>
      <c r="B43" s="76" t="s">
        <v>13</v>
      </c>
      <c r="C43" s="40">
        <v>20920</v>
      </c>
    </row>
    <row r="44" spans="1:3" ht="15" customHeight="1">
      <c r="A44" s="5" t="s">
        <v>27</v>
      </c>
      <c r="B44" s="5"/>
      <c r="C44" s="41">
        <f>SUM(C29:C43)</f>
        <v>258665</v>
      </c>
    </row>
    <row r="45" spans="1:3" ht="15" customHeight="1">
      <c r="A45" s="42" t="s">
        <v>54</v>
      </c>
      <c r="B45" s="42"/>
      <c r="C45" s="43">
        <f>C26+C44</f>
        <v>547927.76276328939</v>
      </c>
    </row>
    <row r="46" spans="1:3" ht="15" customHeight="1">
      <c r="A46" s="110"/>
      <c r="B46" s="110"/>
      <c r="C46" s="111"/>
    </row>
    <row r="47" spans="1:3" ht="15" customHeight="1">
      <c r="A47" s="117"/>
      <c r="B47" s="92"/>
      <c r="C47" s="100"/>
    </row>
    <row r="48" spans="1:3" ht="15" customHeight="1">
      <c r="A48" s="127" t="s">
        <v>62</v>
      </c>
      <c r="B48" s="128"/>
    </row>
    <row r="49" ht="15" customHeight="1"/>
    <row r="50" ht="15" customHeight="1"/>
    <row r="51" ht="15" customHeight="1"/>
  </sheetData>
  <mergeCells count="3">
    <mergeCell ref="A48:B48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19" workbookViewId="0">
      <selection activeCell="C44" sqref="C44"/>
    </sheetView>
  </sheetViews>
  <sheetFormatPr defaultRowHeight="15"/>
  <cols>
    <col min="1" max="1" width="66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139</v>
      </c>
    </row>
    <row r="6" spans="1:3">
      <c r="A6" s="33"/>
    </row>
    <row r="7" spans="1:3">
      <c r="A7" s="34" t="s">
        <v>111</v>
      </c>
      <c r="B7" s="38">
        <v>3521.2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3941*0.59*1.45*2.1*1.22*12/2</f>
        <v>51827.089986000006</v>
      </c>
    </row>
    <row r="18" spans="1:3" ht="15" customHeight="1">
      <c r="A18" s="3" t="s">
        <v>12</v>
      </c>
      <c r="B18" s="76" t="s">
        <v>13</v>
      </c>
      <c r="C18" s="40">
        <f>0.07*B7*5/2</f>
        <v>616.21</v>
      </c>
    </row>
    <row r="19" spans="1:3" ht="15" customHeight="1">
      <c r="A19" s="3" t="s">
        <v>14</v>
      </c>
      <c r="B19" s="76" t="s">
        <v>13</v>
      </c>
      <c r="C19" s="40">
        <f>4*1337*5/2</f>
        <v>13370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50316.545851263036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359.08143140230925</v>
      </c>
    </row>
    <row r="22" spans="1:3" ht="15" customHeight="1">
      <c r="A22" s="3" t="s">
        <v>18</v>
      </c>
      <c r="B22" s="76" t="s">
        <v>154</v>
      </c>
      <c r="C22" s="40">
        <f>3941*0.38*1.45*2.1*1.22*12/2</f>
        <v>33380.159652000002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151017.0883245724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41984.161682722675</v>
      </c>
    </row>
    <row r="25" spans="1:3" s="7" customFormat="1" ht="15" customHeight="1">
      <c r="A25" s="3" t="s">
        <v>26</v>
      </c>
      <c r="B25" s="76" t="s">
        <v>25</v>
      </c>
      <c r="C25" s="40">
        <v>16650</v>
      </c>
    </row>
    <row r="26" spans="1:3" s="7" customFormat="1" ht="15" customHeight="1">
      <c r="A26" s="5" t="s">
        <v>27</v>
      </c>
      <c r="B26" s="3"/>
      <c r="C26" s="40">
        <f>SUM(C17:C25)</f>
        <v>359520.33692796045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12960</v>
      </c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175</v>
      </c>
      <c r="B31" s="76" t="s">
        <v>13</v>
      </c>
      <c r="C31" s="40">
        <v>2300</v>
      </c>
    </row>
    <row r="32" spans="1:3" ht="15" customHeight="1">
      <c r="A32" s="3" t="s">
        <v>159</v>
      </c>
      <c r="B32" s="76" t="s">
        <v>13</v>
      </c>
      <c r="C32" s="40">
        <v>31494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'!B1+19225</f>
        <v>46843.977526081624</v>
      </c>
    </row>
    <row r="35" spans="1:3" ht="15" customHeight="1">
      <c r="A35" s="3" t="s">
        <v>162</v>
      </c>
      <c r="B35" s="76" t="s">
        <v>13</v>
      </c>
      <c r="C35" s="40">
        <v>62177</v>
      </c>
    </row>
    <row r="36" spans="1:3" ht="15" customHeight="1">
      <c r="A36" s="3" t="s">
        <v>39</v>
      </c>
      <c r="B36" s="76" t="s">
        <v>13</v>
      </c>
      <c r="C36" s="40">
        <v>11352</v>
      </c>
    </row>
    <row r="37" spans="1:3" ht="15" customHeight="1">
      <c r="A37" s="3" t="s">
        <v>42</v>
      </c>
      <c r="B37" s="76" t="s">
        <v>13</v>
      </c>
      <c r="C37" s="40">
        <v>21107</v>
      </c>
    </row>
    <row r="38" spans="1:3" ht="15" customHeight="1">
      <c r="A38" s="3" t="s">
        <v>44</v>
      </c>
      <c r="B38" s="76" t="s">
        <v>13</v>
      </c>
      <c r="C38" s="40">
        <v>12075</v>
      </c>
    </row>
    <row r="39" spans="1:3" ht="20.25" customHeight="1">
      <c r="A39" s="3" t="s">
        <v>46</v>
      </c>
      <c r="B39" s="76" t="s">
        <v>47</v>
      </c>
      <c r="C39" s="40">
        <v>7075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1548</v>
      </c>
    </row>
    <row r="43" spans="1:3" ht="15" customHeight="1">
      <c r="A43" s="3" t="s">
        <v>164</v>
      </c>
      <c r="B43" s="76" t="s">
        <v>13</v>
      </c>
      <c r="C43" s="40">
        <v>23648</v>
      </c>
    </row>
    <row r="44" spans="1:3" ht="15" customHeight="1">
      <c r="A44" s="5" t="s">
        <v>27</v>
      </c>
      <c r="B44" s="5"/>
      <c r="C44" s="41">
        <f>SUM(C29:C43)</f>
        <v>241429.97752608161</v>
      </c>
    </row>
    <row r="45" spans="1:3" ht="15" customHeight="1">
      <c r="A45" s="42" t="s">
        <v>54</v>
      </c>
      <c r="B45" s="42"/>
      <c r="C45" s="43">
        <f>C26+C44</f>
        <v>600950.31445404212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26" workbookViewId="0">
      <selection activeCell="C45" sqref="C45"/>
    </sheetView>
  </sheetViews>
  <sheetFormatPr defaultRowHeight="15"/>
  <cols>
    <col min="1" max="1" width="66.8554687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140</v>
      </c>
    </row>
    <row r="6" spans="1:3">
      <c r="A6" s="33"/>
    </row>
    <row r="7" spans="1:3">
      <c r="A7" s="34" t="s">
        <v>111</v>
      </c>
      <c r="B7" s="38">
        <v>2693.7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3941*0.64*1.45*2.1*1.22*12/2</f>
        <v>56219.216256</v>
      </c>
    </row>
    <row r="18" spans="1:3" ht="15" customHeight="1">
      <c r="A18" s="3" t="s">
        <v>12</v>
      </c>
      <c r="B18" s="76" t="s">
        <v>13</v>
      </c>
      <c r="C18" s="40">
        <f>0.07*B7*5/2</f>
        <v>471.39749999999998</v>
      </c>
    </row>
    <row r="19" spans="1:3" ht="15" customHeight="1">
      <c r="A19" s="3" t="s">
        <v>14</v>
      </c>
      <c r="B19" s="76" t="s">
        <v>13</v>
      </c>
      <c r="C19" s="40">
        <f>4*970*5/2</f>
        <v>9700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38491.900363383858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274.69545943666941</v>
      </c>
    </row>
    <row r="22" spans="1:3" ht="15" customHeight="1">
      <c r="A22" s="3" t="s">
        <v>18</v>
      </c>
      <c r="B22" s="76" t="s">
        <v>154</v>
      </c>
      <c r="C22" s="40">
        <f>3941*0.38*1.45*2.1*1.22*12/2</f>
        <v>33380.159652000002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115527.30058499961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32117.669068712396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286182.33888453257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23700</v>
      </c>
    </row>
    <row r="30" spans="1:3" ht="15" customHeight="1">
      <c r="A30" s="3" t="s">
        <v>156</v>
      </c>
      <c r="B30" s="76" t="s">
        <v>13</v>
      </c>
      <c r="C30" s="40">
        <v>9890</v>
      </c>
    </row>
    <row r="31" spans="1:3" ht="15" customHeight="1">
      <c r="A31" s="3" t="s">
        <v>109</v>
      </c>
      <c r="B31" s="76" t="s">
        <v>13</v>
      </c>
      <c r="C31" s="40"/>
    </row>
    <row r="32" spans="1:3" ht="15" customHeight="1">
      <c r="A32" s="3" t="s">
        <v>159</v>
      </c>
      <c r="B32" s="76" t="s">
        <v>13</v>
      </c>
      <c r="C32" s="40">
        <f>1070+4095</f>
        <v>5165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'!B1+17220</f>
        <v>38348.37662217598</v>
      </c>
    </row>
    <row r="35" spans="1:3" ht="15" customHeight="1">
      <c r="A35" s="3" t="s">
        <v>162</v>
      </c>
      <c r="B35" s="76" t="s">
        <v>13</v>
      </c>
      <c r="C35" s="40">
        <v>42625</v>
      </c>
    </row>
    <row r="36" spans="1:3" ht="15" customHeight="1">
      <c r="A36" s="3" t="s">
        <v>39</v>
      </c>
      <c r="B36" s="76" t="s">
        <v>13</v>
      </c>
      <c r="C36" s="40">
        <v>10320</v>
      </c>
    </row>
    <row r="37" spans="1:3" ht="15" customHeight="1">
      <c r="A37" s="3" t="s">
        <v>42</v>
      </c>
      <c r="B37" s="76" t="s">
        <v>13</v>
      </c>
      <c r="C37" s="40">
        <v>21058</v>
      </c>
    </row>
    <row r="38" spans="1:3" ht="15" customHeight="1">
      <c r="A38" s="3" t="s">
        <v>44</v>
      </c>
      <c r="B38" s="76" t="s">
        <v>13</v>
      </c>
      <c r="C38" s="40">
        <v>12050</v>
      </c>
    </row>
    <row r="39" spans="1:3" ht="24.75" customHeight="1">
      <c r="A39" s="3" t="s">
        <v>46</v>
      </c>
      <c r="B39" s="76" t="s">
        <v>47</v>
      </c>
      <c r="C39" s="40">
        <v>12050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1444</v>
      </c>
    </row>
    <row r="43" spans="1:3" ht="15" customHeight="1">
      <c r="A43" s="3" t="s">
        <v>164</v>
      </c>
      <c r="B43" s="76" t="s">
        <v>13</v>
      </c>
      <c r="C43" s="40">
        <v>20920</v>
      </c>
    </row>
    <row r="44" spans="1:3" ht="15" customHeight="1">
      <c r="A44" s="5" t="s">
        <v>27</v>
      </c>
      <c r="B44" s="5"/>
      <c r="C44" s="41">
        <f>SUM(C29:C43)</f>
        <v>206420.37662217597</v>
      </c>
    </row>
    <row r="45" spans="1:3" ht="15" customHeight="1">
      <c r="A45" s="42" t="s">
        <v>54</v>
      </c>
      <c r="B45" s="42"/>
      <c r="C45" s="43">
        <f>C26+C44</f>
        <v>492602.71550670854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opLeftCell="A22" workbookViewId="0">
      <selection activeCell="C31" sqref="C31"/>
    </sheetView>
  </sheetViews>
  <sheetFormatPr defaultRowHeight="15"/>
  <cols>
    <col min="1" max="1" width="66.425781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141</v>
      </c>
    </row>
    <row r="6" spans="1:3">
      <c r="A6" s="33"/>
    </row>
    <row r="7" spans="1:3">
      <c r="A7" s="34" t="s">
        <v>111</v>
      </c>
      <c r="B7" s="38">
        <v>3150.9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3941*0.55*1.45*2.1*1.22*12/2</f>
        <v>48313.38897</v>
      </c>
    </row>
    <row r="18" spans="1:3" ht="15" customHeight="1">
      <c r="A18" s="3" t="s">
        <v>12</v>
      </c>
      <c r="B18" s="76" t="s">
        <v>13</v>
      </c>
      <c r="C18" s="40">
        <f>0.07*B7*5/2</f>
        <v>551.40750000000003</v>
      </c>
    </row>
    <row r="19" spans="1:3" ht="15" customHeight="1">
      <c r="A19" s="3" t="s">
        <v>14</v>
      </c>
      <c r="B19" s="76" t="s">
        <v>13</v>
      </c>
      <c r="C19" s="40">
        <f>4*829*5/2</f>
        <v>8290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45025.106305448346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321.31934630396916</v>
      </c>
    </row>
    <row r="22" spans="1:3" ht="15" customHeight="1">
      <c r="A22" s="3" t="s">
        <v>18</v>
      </c>
      <c r="B22" s="76" t="s">
        <v>154</v>
      </c>
      <c r="C22" s="40">
        <f>3941*0.47*1.45*2.1*1.22*12/2</f>
        <v>41285.986938000002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135135.6763608699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37568.980758290047</v>
      </c>
    </row>
    <row r="25" spans="1:3" s="7" customFormat="1" ht="15" customHeight="1">
      <c r="A25" s="3" t="s">
        <v>26</v>
      </c>
      <c r="B25" s="76" t="s">
        <v>25</v>
      </c>
      <c r="C25" s="40">
        <v>16650</v>
      </c>
    </row>
    <row r="26" spans="1:3" s="7" customFormat="1" ht="15" customHeight="1">
      <c r="A26" s="5" t="s">
        <v>27</v>
      </c>
      <c r="B26" s="3"/>
      <c r="C26" s="40">
        <f>SUM(C17:C25)</f>
        <v>333141.86617891223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>
        <v>222106</v>
      </c>
    </row>
    <row r="31" spans="1:3" ht="15" customHeight="1">
      <c r="A31" s="3" t="s">
        <v>175</v>
      </c>
      <c r="B31" s="76" t="s">
        <v>13</v>
      </c>
      <c r="C31" s="40">
        <v>204376</v>
      </c>
    </row>
    <row r="32" spans="1:3" ht="15" customHeight="1">
      <c r="A32" s="3" t="s">
        <v>159</v>
      </c>
      <c r="B32" s="76" t="s">
        <v>13</v>
      </c>
      <c r="C32" s="40">
        <v>1427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'!B1+62695</f>
        <v>87409.482644249278</v>
      </c>
    </row>
    <row r="35" spans="1:3" ht="15" customHeight="1">
      <c r="A35" s="3" t="s">
        <v>162</v>
      </c>
      <c r="B35" s="76" t="s">
        <v>13</v>
      </c>
      <c r="C35" s="40">
        <v>47161</v>
      </c>
    </row>
    <row r="36" spans="1:3" ht="15" customHeight="1">
      <c r="A36" s="3" t="s">
        <v>39</v>
      </c>
      <c r="B36" s="76" t="s">
        <v>13</v>
      </c>
      <c r="C36" s="40">
        <v>10578</v>
      </c>
    </row>
    <row r="37" spans="1:3" ht="15" customHeight="1">
      <c r="A37" s="3" t="s">
        <v>42</v>
      </c>
      <c r="B37" s="76" t="s">
        <v>13</v>
      </c>
      <c r="C37" s="40">
        <v>10813</v>
      </c>
    </row>
    <row r="38" spans="1:3" ht="15" customHeight="1">
      <c r="A38" s="3" t="s">
        <v>44</v>
      </c>
      <c r="B38" s="76" t="s">
        <v>13</v>
      </c>
      <c r="C38" s="40">
        <v>7925</v>
      </c>
    </row>
    <row r="39" spans="1:3" ht="23.25" customHeight="1">
      <c r="A39" s="3" t="s">
        <v>46</v>
      </c>
      <c r="B39" s="76" t="s">
        <v>47</v>
      </c>
      <c r="C39" s="40">
        <v>7925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2432</v>
      </c>
    </row>
    <row r="43" spans="1:3" ht="15" customHeight="1">
      <c r="A43" s="3" t="s">
        <v>164</v>
      </c>
      <c r="B43" s="76" t="s">
        <v>13</v>
      </c>
      <c r="C43" s="40">
        <v>22284</v>
      </c>
    </row>
    <row r="44" spans="1:3" ht="15" customHeight="1">
      <c r="A44" s="5" t="s">
        <v>27</v>
      </c>
      <c r="B44" s="5"/>
      <c r="C44" s="41">
        <f>SUM(C29:C43)</f>
        <v>633286.48264424922</v>
      </c>
    </row>
    <row r="45" spans="1:3" ht="15" customHeight="1">
      <c r="A45" s="42" t="s">
        <v>54</v>
      </c>
      <c r="B45" s="42"/>
      <c r="C45" s="43">
        <f>C26+C44</f>
        <v>966428.34882316145</v>
      </c>
    </row>
    <row r="46" spans="1:3" ht="15" customHeight="1">
      <c r="A46" s="77"/>
      <c r="C46" s="8"/>
    </row>
    <row r="47" spans="1:3">
      <c r="A47" s="117"/>
      <c r="B47" s="92"/>
      <c r="C47" s="100"/>
    </row>
    <row r="48" spans="1:3">
      <c r="A48" s="127" t="s">
        <v>62</v>
      </c>
      <c r="B48" s="128"/>
    </row>
  </sheetData>
  <mergeCells count="3">
    <mergeCell ref="A48:B48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opLeftCell="A28" workbookViewId="0">
      <selection activeCell="C32" sqref="C32"/>
    </sheetView>
  </sheetViews>
  <sheetFormatPr defaultRowHeight="15"/>
  <cols>
    <col min="1" max="1" width="66.28515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142</v>
      </c>
    </row>
    <row r="6" spans="1:3">
      <c r="A6" s="33"/>
    </row>
    <row r="7" spans="1:3">
      <c r="A7" s="34" t="s">
        <v>111</v>
      </c>
      <c r="B7" s="38">
        <v>4188.7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3941*0.5*1.45*2.1*1.22*12/2</f>
        <v>43921.262699999999</v>
      </c>
    </row>
    <row r="18" spans="1:3" ht="15" customHeight="1">
      <c r="A18" s="3" t="s">
        <v>12</v>
      </c>
      <c r="B18" s="76" t="s">
        <v>13</v>
      </c>
      <c r="C18" s="40">
        <f>0.07*B7*5/2</f>
        <v>733.02250000000004</v>
      </c>
    </row>
    <row r="19" spans="1:3" ht="15" customHeight="1">
      <c r="A19" s="3" t="s">
        <v>14</v>
      </c>
      <c r="B19" s="76" t="s">
        <v>13</v>
      </c>
      <c r="C19" s="40">
        <f>4*426*5/2</f>
        <v>4260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59854.855051455605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427.15108250450203</v>
      </c>
    </row>
    <row r="22" spans="1:3" ht="15" customHeight="1">
      <c r="A22" s="3" t="s">
        <v>18</v>
      </c>
      <c r="B22" s="76" t="s">
        <v>154</v>
      </c>
      <c r="C22" s="40">
        <f>3941*1*1.45*2.1*1.22*12/2</f>
        <v>87842.525399999999</v>
      </c>
    </row>
    <row r="23" spans="1:3" ht="15" customHeight="1">
      <c r="A23" s="3" t="s">
        <v>151</v>
      </c>
      <c r="B23" s="91" t="s">
        <v>25</v>
      </c>
      <c r="C23" s="40">
        <v>57944</v>
      </c>
    </row>
    <row r="24" spans="1:3" ht="60" customHeight="1">
      <c r="A24" s="6" t="s">
        <v>169</v>
      </c>
      <c r="B24" s="76" t="s">
        <v>23</v>
      </c>
      <c r="C24" s="40">
        <f>B7*'общие данные '!E13/'общие данные '!B1/2</f>
        <v>179644.80230181085</v>
      </c>
    </row>
    <row r="25" spans="1:3" s="7" customFormat="1" ht="15" customHeight="1">
      <c r="A25" s="3" t="s">
        <v>24</v>
      </c>
      <c r="B25" s="4" t="s">
        <v>25</v>
      </c>
      <c r="C25" s="40">
        <f>0.82*B7*12+B7*'общие данные '!C8/'общие данные '!B1/2</f>
        <v>49942.933670459068</v>
      </c>
    </row>
    <row r="26" spans="1:3" s="7" customFormat="1" ht="15" customHeight="1">
      <c r="A26" s="3" t="s">
        <v>26</v>
      </c>
      <c r="B26" s="4" t="s">
        <v>25</v>
      </c>
      <c r="C26" s="40">
        <v>16650</v>
      </c>
    </row>
    <row r="27" spans="1:3" s="7" customFormat="1" ht="15" customHeight="1">
      <c r="A27" s="5" t="s">
        <v>27</v>
      </c>
      <c r="B27" s="3"/>
      <c r="C27" s="40">
        <f>SUM(C17:C26)</f>
        <v>501220.55270623002</v>
      </c>
    </row>
    <row r="28" spans="1:3" ht="15" customHeight="1">
      <c r="A28" s="36" t="s">
        <v>28</v>
      </c>
      <c r="B28" s="37"/>
      <c r="C28" s="37"/>
    </row>
    <row r="29" spans="1:3" ht="15" customHeight="1">
      <c r="A29" s="5" t="s">
        <v>108</v>
      </c>
      <c r="B29" s="78" t="s">
        <v>160</v>
      </c>
      <c r="C29" s="78" t="s">
        <v>9</v>
      </c>
    </row>
    <row r="30" spans="1:3" ht="15" customHeight="1">
      <c r="A30" s="3" t="s">
        <v>29</v>
      </c>
      <c r="B30" s="76" t="s">
        <v>13</v>
      </c>
      <c r="C30" s="40"/>
    </row>
    <row r="31" spans="1:3" ht="15" customHeight="1">
      <c r="A31" s="3" t="s">
        <v>156</v>
      </c>
      <c r="B31" s="76" t="s">
        <v>13</v>
      </c>
      <c r="C31" s="40">
        <v>420</v>
      </c>
    </row>
    <row r="32" spans="1:3" ht="15" customHeight="1">
      <c r="A32" s="3" t="s">
        <v>109</v>
      </c>
      <c r="B32" s="76" t="s">
        <v>13</v>
      </c>
      <c r="C32" s="40"/>
    </row>
    <row r="33" spans="1:3" ht="15" customHeight="1">
      <c r="A33" s="3" t="s">
        <v>159</v>
      </c>
      <c r="B33" s="76" t="s">
        <v>13</v>
      </c>
      <c r="C33" s="40">
        <f>23145+435</f>
        <v>23580</v>
      </c>
    </row>
    <row r="34" spans="1:3" ht="15" customHeight="1">
      <c r="A34" s="5" t="s">
        <v>35</v>
      </c>
      <c r="B34" s="78"/>
      <c r="C34" s="41"/>
    </row>
    <row r="35" spans="1:3" ht="15" customHeight="1">
      <c r="A35" s="3" t="s">
        <v>163</v>
      </c>
      <c r="B35" s="76" t="s">
        <v>13</v>
      </c>
      <c r="C35" s="40">
        <f>B7*'общие данные '!C37/'общие данные '!B1+202913/2</f>
        <v>134311.098194791</v>
      </c>
    </row>
    <row r="36" spans="1:3" ht="15" customHeight="1">
      <c r="A36" s="3" t="s">
        <v>162</v>
      </c>
      <c r="B36" s="76" t="s">
        <v>13</v>
      </c>
      <c r="C36" s="40">
        <v>77700</v>
      </c>
    </row>
    <row r="37" spans="1:3" ht="15" customHeight="1">
      <c r="A37" s="3" t="s">
        <v>39</v>
      </c>
      <c r="B37" s="76" t="s">
        <v>13</v>
      </c>
      <c r="C37" s="40">
        <v>10836</v>
      </c>
    </row>
    <row r="38" spans="1:3" ht="15" customHeight="1">
      <c r="A38" s="3" t="s">
        <v>42</v>
      </c>
      <c r="B38" s="76" t="s">
        <v>13</v>
      </c>
      <c r="C38" s="40">
        <v>67988</v>
      </c>
    </row>
    <row r="39" spans="1:3" ht="15" customHeight="1">
      <c r="A39" s="3" t="s">
        <v>44</v>
      </c>
      <c r="B39" s="76" t="s">
        <v>13</v>
      </c>
      <c r="C39" s="40">
        <v>37975</v>
      </c>
    </row>
    <row r="40" spans="1:3" ht="25.5" customHeight="1">
      <c r="A40" s="3" t="s">
        <v>46</v>
      </c>
      <c r="B40" s="76" t="s">
        <v>47</v>
      </c>
      <c r="C40" s="40">
        <v>9140</v>
      </c>
    </row>
    <row r="41" spans="1:3" ht="15" customHeight="1">
      <c r="A41" s="3" t="s">
        <v>48</v>
      </c>
      <c r="B41" s="76" t="s">
        <v>161</v>
      </c>
      <c r="C41" s="40">
        <f>8850*2</f>
        <v>17700</v>
      </c>
    </row>
    <row r="42" spans="1:3" ht="15" customHeight="1">
      <c r="A42" s="5" t="s">
        <v>50</v>
      </c>
      <c r="B42" s="78"/>
      <c r="C42" s="41"/>
    </row>
    <row r="43" spans="1:3" ht="15" customHeight="1">
      <c r="A43" s="3" t="s">
        <v>57</v>
      </c>
      <c r="B43" s="76" t="s">
        <v>13</v>
      </c>
      <c r="C43" s="40">
        <f>2*6603</f>
        <v>13206</v>
      </c>
    </row>
    <row r="44" spans="1:3" ht="15" customHeight="1">
      <c r="A44" s="3" t="s">
        <v>164</v>
      </c>
      <c r="B44" s="76" t="s">
        <v>13</v>
      </c>
      <c r="C44" s="40">
        <v>23307</v>
      </c>
    </row>
    <row r="45" spans="1:3" ht="15" customHeight="1">
      <c r="A45" s="5" t="s">
        <v>27</v>
      </c>
      <c r="B45" s="5"/>
      <c r="C45" s="41">
        <f>SUM(C30:C44)</f>
        <v>416163.098194791</v>
      </c>
    </row>
    <row r="46" spans="1:3" ht="15" customHeight="1">
      <c r="A46" s="42" t="s">
        <v>54</v>
      </c>
      <c r="B46" s="42"/>
      <c r="C46" s="43">
        <f>C45+C27</f>
        <v>917383.65090102097</v>
      </c>
    </row>
    <row r="47" spans="1:3" ht="15" customHeight="1">
      <c r="A47" s="77"/>
      <c r="C47" s="8"/>
    </row>
    <row r="48" spans="1:3">
      <c r="A48" s="117"/>
      <c r="B48" s="92"/>
      <c r="C48" s="100"/>
    </row>
    <row r="49" spans="1:2">
      <c r="A49" s="127" t="s">
        <v>62</v>
      </c>
      <c r="B49" s="128"/>
    </row>
  </sheetData>
  <mergeCells count="3">
    <mergeCell ref="A49:B49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25" workbookViewId="0">
      <selection activeCell="C45" sqref="C45"/>
    </sheetView>
  </sheetViews>
  <sheetFormatPr defaultRowHeight="15"/>
  <cols>
    <col min="1" max="1" width="67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143</v>
      </c>
    </row>
    <row r="6" spans="1:3">
      <c r="A6" s="33"/>
    </row>
    <row r="7" spans="1:3">
      <c r="A7" s="34" t="s">
        <v>111</v>
      </c>
      <c r="B7" s="38">
        <v>1046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18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3941*0.25*1.45*2.1*1.22*12/2</f>
        <v>21960.63135</v>
      </c>
    </row>
    <row r="18" spans="1:3" ht="15" customHeight="1">
      <c r="A18" s="3" t="s">
        <v>12</v>
      </c>
      <c r="B18" s="76" t="s">
        <v>13</v>
      </c>
      <c r="C18" s="40">
        <f>0.07*B7*5/2</f>
        <v>183.05000000000004</v>
      </c>
    </row>
    <row r="19" spans="1:3" ht="15" customHeight="1">
      <c r="A19" s="3" t="s">
        <v>14</v>
      </c>
      <c r="B19" s="76" t="s">
        <v>13</v>
      </c>
      <c r="C19" s="40">
        <f>4*464*5/2</f>
        <v>4640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14946.923480751202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106.66794764478458</v>
      </c>
    </row>
    <row r="22" spans="1:3" ht="15" customHeight="1">
      <c r="A22" s="3" t="s">
        <v>18</v>
      </c>
      <c r="B22" s="76" t="s">
        <v>154</v>
      </c>
      <c r="C22" s="40">
        <f>3941*0.45*1.45*2.1*1.22*12/2</f>
        <v>39529.136430000006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44860.807221260569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12471.72359426557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138698.94002392213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16480</v>
      </c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175</v>
      </c>
      <c r="B31" s="76" t="s">
        <v>13</v>
      </c>
      <c r="C31" s="40">
        <v>42885</v>
      </c>
    </row>
    <row r="32" spans="1:3" ht="15" customHeight="1">
      <c r="A32" s="3" t="s">
        <v>159</v>
      </c>
      <c r="B32" s="76" t="s">
        <v>13</v>
      </c>
      <c r="C32" s="40">
        <v>106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</f>
        <v>8204.4332875955279</v>
      </c>
    </row>
    <row r="35" spans="1:3" ht="15" customHeight="1">
      <c r="A35" s="3" t="s">
        <v>162</v>
      </c>
      <c r="B35" s="76" t="s">
        <v>13</v>
      </c>
      <c r="C35" s="40">
        <v>2625</v>
      </c>
    </row>
    <row r="36" spans="1:3" ht="15" customHeight="1">
      <c r="A36" s="3" t="s">
        <v>39</v>
      </c>
      <c r="B36" s="76" t="s">
        <v>13</v>
      </c>
      <c r="C36" s="40">
        <v>1290</v>
      </c>
    </row>
    <row r="37" spans="1:3" ht="15" customHeight="1">
      <c r="A37" s="3" t="s">
        <v>42</v>
      </c>
      <c r="B37" s="76" t="s">
        <v>13</v>
      </c>
      <c r="C37" s="40">
        <v>13867</v>
      </c>
    </row>
    <row r="38" spans="1:3" ht="15" customHeight="1">
      <c r="A38" s="3" t="s">
        <v>44</v>
      </c>
      <c r="B38" s="76" t="s">
        <v>13</v>
      </c>
      <c r="C38" s="40">
        <v>7825</v>
      </c>
    </row>
    <row r="39" spans="1:3" ht="20.25" customHeight="1">
      <c r="A39" s="3" t="s">
        <v>46</v>
      </c>
      <c r="B39" s="76" t="s">
        <v>47</v>
      </c>
      <c r="C39" s="40">
        <v>7825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f>27*5+49*5</f>
        <v>380</v>
      </c>
    </row>
    <row r="43" spans="1:3" ht="15" customHeight="1">
      <c r="A43" s="3" t="s">
        <v>164</v>
      </c>
      <c r="B43" s="76" t="s">
        <v>13</v>
      </c>
      <c r="C43" s="40">
        <v>5456</v>
      </c>
    </row>
    <row r="44" spans="1:3" ht="15" customHeight="1">
      <c r="A44" s="5" t="s">
        <v>27</v>
      </c>
      <c r="B44" s="5"/>
      <c r="C44" s="41">
        <f>SUM(C29:C43)</f>
        <v>115793.43328759553</v>
      </c>
    </row>
    <row r="45" spans="1:3" ht="15" customHeight="1">
      <c r="A45" s="42" t="s">
        <v>54</v>
      </c>
      <c r="B45" s="42"/>
      <c r="C45" s="43">
        <f>C26+C44</f>
        <v>254492.37331151764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>
      <selection activeCell="B13" sqref="B10:B13"/>
    </sheetView>
  </sheetViews>
  <sheetFormatPr defaultRowHeight="15"/>
  <cols>
    <col min="1" max="1" width="67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144</v>
      </c>
    </row>
    <row r="6" spans="1:3">
      <c r="A6" s="33"/>
    </row>
    <row r="7" spans="1:3">
      <c r="A7" s="34" t="s">
        <v>111</v>
      </c>
      <c r="B7" s="38">
        <v>3388.54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v>75423</v>
      </c>
    </row>
    <row r="18" spans="1:3" ht="15" customHeight="1">
      <c r="A18" s="3" t="s">
        <v>12</v>
      </c>
      <c r="B18" s="76" t="s">
        <v>13</v>
      </c>
      <c r="C18" s="40">
        <f>0.07*B7*5</f>
        <v>1185.989</v>
      </c>
    </row>
    <row r="19" spans="1:3" ht="15" customHeight="1">
      <c r="A19" s="3" t="s">
        <v>14</v>
      </c>
      <c r="B19" s="76" t="s">
        <v>13</v>
      </c>
      <c r="C19" s="40">
        <f>4*1973.4*5/2</f>
        <v>19734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48420.88727673488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</f>
        <v>691.1063237328076</v>
      </c>
    </row>
    <row r="22" spans="1:3" ht="15" customHeight="1">
      <c r="A22" s="3" t="s">
        <v>18</v>
      </c>
      <c r="B22" s="76" t="s">
        <v>154</v>
      </c>
      <c r="C22" s="40">
        <f>3941*0.84*1.45*2.1*1.22*12/2</f>
        <v>73787.721336000002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145327.57141637694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40402.422818463332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404972.69817130797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22800</v>
      </c>
    </row>
    <row r="30" spans="1:3" ht="15" customHeight="1">
      <c r="A30" s="3" t="s">
        <v>156</v>
      </c>
      <c r="B30" s="76" t="s">
        <v>13</v>
      </c>
      <c r="C30" s="40">
        <v>6598</v>
      </c>
    </row>
    <row r="31" spans="1:3" ht="15" customHeight="1">
      <c r="A31" s="3" t="s">
        <v>175</v>
      </c>
      <c r="B31" s="76" t="s">
        <v>13</v>
      </c>
      <c r="C31" s="40">
        <v>4136</v>
      </c>
    </row>
    <row r="32" spans="1:3" ht="15" customHeight="1">
      <c r="A32" s="3" t="s">
        <v>159</v>
      </c>
      <c r="B32" s="76" t="s">
        <v>13</v>
      </c>
      <c r="C32" s="40">
        <f>619+4825</f>
        <v>5444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51215</v>
      </c>
    </row>
    <row r="35" spans="1:3" ht="15" customHeight="1">
      <c r="A35" s="3" t="s">
        <v>162</v>
      </c>
      <c r="B35" s="76" t="s">
        <v>13</v>
      </c>
      <c r="C35" s="40">
        <v>41166</v>
      </c>
    </row>
    <row r="36" spans="1:3" ht="15" customHeight="1">
      <c r="A36" s="3" t="s">
        <v>39</v>
      </c>
      <c r="B36" s="76" t="s">
        <v>13</v>
      </c>
      <c r="C36" s="40">
        <v>4644</v>
      </c>
    </row>
    <row r="37" spans="1:3" ht="15" customHeight="1">
      <c r="A37" s="3" t="s">
        <v>42</v>
      </c>
      <c r="B37" s="76" t="s">
        <v>13</v>
      </c>
      <c r="C37" s="40">
        <v>13002</v>
      </c>
    </row>
    <row r="38" spans="1:3" ht="15" customHeight="1">
      <c r="A38" s="3" t="s">
        <v>44</v>
      </c>
      <c r="B38" s="76" t="s">
        <v>13</v>
      </c>
      <c r="C38" s="40">
        <v>17425</v>
      </c>
    </row>
    <row r="39" spans="1:3" ht="20.25" customHeight="1">
      <c r="A39" s="3" t="s">
        <v>46</v>
      </c>
      <c r="B39" s="76" t="s">
        <v>47</v>
      </c>
      <c r="C39" s="40">
        <v>13465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2080</v>
      </c>
    </row>
    <row r="43" spans="1:3" ht="15" customHeight="1">
      <c r="A43" s="3" t="s">
        <v>164</v>
      </c>
      <c r="B43" s="76" t="s">
        <v>13</v>
      </c>
      <c r="C43" s="40">
        <v>18414</v>
      </c>
    </row>
    <row r="44" spans="1:3" ht="15" customHeight="1">
      <c r="A44" s="5" t="s">
        <v>27</v>
      </c>
      <c r="B44" s="5"/>
      <c r="C44" s="41">
        <f>SUM(C29:C43)</f>
        <v>209239</v>
      </c>
    </row>
    <row r="45" spans="1:3" ht="15" customHeight="1">
      <c r="A45" s="42" t="s">
        <v>54</v>
      </c>
      <c r="B45" s="42"/>
      <c r="C45" s="43">
        <f>C26+C44</f>
        <v>614211.69817130803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16" workbookViewId="0">
      <selection activeCell="C44" sqref="C44"/>
    </sheetView>
  </sheetViews>
  <sheetFormatPr defaultRowHeight="15"/>
  <cols>
    <col min="1" max="1" width="67.425781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145</v>
      </c>
    </row>
    <row r="6" spans="1:3">
      <c r="A6" s="33"/>
    </row>
    <row r="7" spans="1:3">
      <c r="A7" s="34" t="s">
        <v>111</v>
      </c>
      <c r="B7" s="38">
        <v>2900.1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3941*0.86*1.45*2.1*1.22*12/2</f>
        <v>75544.571843999991</v>
      </c>
    </row>
    <row r="18" spans="1:3" ht="15" customHeight="1">
      <c r="A18" s="3" t="s">
        <v>12</v>
      </c>
      <c r="B18" s="76" t="s">
        <v>13</v>
      </c>
      <c r="C18" s="40">
        <f>0.07*B7*5/2</f>
        <v>507.51750000000004</v>
      </c>
    </row>
    <row r="19" spans="1:3" ht="15" customHeight="1">
      <c r="A19" s="3" t="s">
        <v>14</v>
      </c>
      <c r="B19" s="76" t="s">
        <v>13</v>
      </c>
      <c r="C19" s="40">
        <f>4*1407*5/2</f>
        <v>14070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41441.274174499587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295.74351335051603</v>
      </c>
    </row>
    <row r="22" spans="1:3" ht="15" customHeight="1">
      <c r="A22" s="3" t="s">
        <v>18</v>
      </c>
      <c r="B22" s="76" t="s">
        <v>154</v>
      </c>
      <c r="C22" s="40">
        <f>3941*0.26*1.45*2.1*1.22*12/2</f>
        <v>22839.056604000005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124379.37573841089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34578.628676605716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313656.16805086675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32870</v>
      </c>
    </row>
    <row r="30" spans="1:3" ht="15" customHeight="1">
      <c r="A30" s="3" t="s">
        <v>156</v>
      </c>
      <c r="B30" s="76" t="s">
        <v>13</v>
      </c>
      <c r="C30" s="40">
        <v>19105</v>
      </c>
    </row>
    <row r="31" spans="1:3" ht="15" customHeight="1">
      <c r="A31" s="3" t="s">
        <v>175</v>
      </c>
      <c r="B31" s="76" t="s">
        <v>13</v>
      </c>
      <c r="C31" s="40"/>
    </row>
    <row r="32" spans="1:3" ht="15" customHeight="1">
      <c r="A32" s="3" t="s">
        <v>159</v>
      </c>
      <c r="B32" s="76" t="s">
        <v>13</v>
      </c>
      <c r="C32" s="40">
        <v>1227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55518</v>
      </c>
    </row>
    <row r="35" spans="1:3" ht="15" customHeight="1">
      <c r="A35" s="3" t="s">
        <v>162</v>
      </c>
      <c r="B35" s="76" t="s">
        <v>13</v>
      </c>
      <c r="C35" s="40">
        <v>68442</v>
      </c>
    </row>
    <row r="36" spans="1:3" ht="15" customHeight="1">
      <c r="A36" s="3" t="s">
        <v>39</v>
      </c>
      <c r="B36" s="76" t="s">
        <v>13</v>
      </c>
      <c r="C36" s="40">
        <v>10320</v>
      </c>
    </row>
    <row r="37" spans="1:3" ht="15" customHeight="1">
      <c r="A37" s="3" t="s">
        <v>42</v>
      </c>
      <c r="B37" s="76" t="s">
        <v>13</v>
      </c>
      <c r="C37" s="40">
        <v>25715</v>
      </c>
    </row>
    <row r="38" spans="1:3" ht="15" customHeight="1">
      <c r="A38" s="3" t="s">
        <v>44</v>
      </c>
      <c r="B38" s="76" t="s">
        <v>13</v>
      </c>
      <c r="C38" s="40">
        <v>11875</v>
      </c>
    </row>
    <row r="39" spans="1:3" ht="21" customHeight="1">
      <c r="A39" s="3" t="s">
        <v>46</v>
      </c>
      <c r="B39" s="76" t="s">
        <v>47</v>
      </c>
      <c r="C39" s="40">
        <v>11875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1117</v>
      </c>
    </row>
    <row r="43" spans="1:3" ht="15" customHeight="1">
      <c r="A43" s="3" t="s">
        <v>164</v>
      </c>
      <c r="B43" s="76" t="s">
        <v>13</v>
      </c>
      <c r="C43" s="40">
        <v>21261</v>
      </c>
    </row>
    <row r="44" spans="1:3" ht="15" customHeight="1">
      <c r="A44" s="5" t="s">
        <v>27</v>
      </c>
      <c r="B44" s="5"/>
      <c r="C44" s="41">
        <f>SUM(C29:C43)</f>
        <v>268175</v>
      </c>
    </row>
    <row r="45" spans="1:3" ht="15" customHeight="1">
      <c r="A45" s="42" t="s">
        <v>54</v>
      </c>
      <c r="B45" s="42"/>
      <c r="C45" s="43">
        <f>C44+C26</f>
        <v>581831.16805086681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workbookViewId="0">
      <selection activeCell="B13" sqref="B10:B13"/>
    </sheetView>
  </sheetViews>
  <sheetFormatPr defaultRowHeight="15"/>
  <cols>
    <col min="1" max="1" width="66.140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113</v>
      </c>
    </row>
    <row r="6" spans="1:3">
      <c r="A6" s="33"/>
    </row>
    <row r="7" spans="1:3">
      <c r="A7" s="34" t="s">
        <v>111</v>
      </c>
      <c r="B7" s="38">
        <f>площади!F27</f>
        <v>4406.1000000000004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160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3941*0.97*1.45*2.1*1.22*12/2</f>
        <v>85207.249638000008</v>
      </c>
    </row>
    <row r="18" spans="1:3" ht="15" customHeight="1">
      <c r="A18" s="3" t="s">
        <v>12</v>
      </c>
      <c r="B18" s="76" t="s">
        <v>13</v>
      </c>
      <c r="C18" s="40">
        <v>19440</v>
      </c>
    </row>
    <row r="19" spans="1:3" ht="15" customHeight="1">
      <c r="A19" s="3" t="s">
        <v>14</v>
      </c>
      <c r="B19" s="76" t="s">
        <v>13</v>
      </c>
      <c r="C19" s="40">
        <f>4*957.5*5</f>
        <v>19150</v>
      </c>
    </row>
    <row r="20" spans="1:3" ht="15" customHeight="1">
      <c r="A20" s="3" t="s">
        <v>15</v>
      </c>
      <c r="B20" s="76" t="s">
        <v>16</v>
      </c>
      <c r="C20" s="40">
        <f>'Ангарский 4'!B7*'общие данные '!C7/'общие данные '!B1/2</f>
        <v>62961.414482349792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449.32088347771065</v>
      </c>
    </row>
    <row r="22" spans="1:3" ht="16.5" customHeight="1">
      <c r="A22" s="3" t="s">
        <v>18</v>
      </c>
      <c r="B22" s="76" t="s">
        <v>154</v>
      </c>
      <c r="C22" s="40">
        <f>3941*0.27*1.45*2.1*1.22*12</f>
        <v>47434.963716000013</v>
      </c>
    </row>
    <row r="23" spans="1:3" ht="60" customHeight="1">
      <c r="A23" s="6" t="s">
        <v>169</v>
      </c>
      <c r="B23" s="76" t="s">
        <v>23</v>
      </c>
      <c r="C23" s="40">
        <v>188968.65</v>
      </c>
    </row>
    <row r="24" spans="1:3" s="7" customFormat="1" ht="15" customHeight="1">
      <c r="A24" s="3" t="s">
        <v>170</v>
      </c>
      <c r="B24" s="4" t="s">
        <v>25</v>
      </c>
      <c r="C24" s="40">
        <f>0.82*B7*12+'Ангарский 4'!B7*'общие данные '!C8/'общие данные '!B1/2</f>
        <v>52535.049071408728</v>
      </c>
    </row>
    <row r="25" spans="1:3" s="7" customFormat="1" ht="15" customHeight="1">
      <c r="A25" s="3" t="s">
        <v>174</v>
      </c>
      <c r="B25" s="4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476146.64779123623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4" t="s">
        <v>13</v>
      </c>
      <c r="C29" s="40">
        <v>1620</v>
      </c>
    </row>
    <row r="30" spans="1:3" ht="15" customHeight="1">
      <c r="A30" s="3" t="s">
        <v>156</v>
      </c>
      <c r="B30" s="4" t="s">
        <v>13</v>
      </c>
      <c r="C30" s="40">
        <v>5577.5</v>
      </c>
    </row>
    <row r="31" spans="1:3" ht="15" customHeight="1">
      <c r="A31" s="3" t="s">
        <v>175</v>
      </c>
      <c r="B31" s="4" t="s">
        <v>13</v>
      </c>
      <c r="C31" s="40"/>
    </row>
    <row r="32" spans="1:3" ht="15" customHeight="1">
      <c r="A32" s="3" t="s">
        <v>159</v>
      </c>
      <c r="B32" s="4" t="s">
        <v>13</v>
      </c>
      <c r="C32" s="40">
        <v>357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4" t="s">
        <v>13</v>
      </c>
      <c r="C34" s="40">
        <f>B7*'общие данные '!C37/'общие данные '!B1+12336/2</f>
        <v>40727.802589363921</v>
      </c>
    </row>
    <row r="35" spans="1:3" ht="15" customHeight="1">
      <c r="A35" s="3" t="s">
        <v>162</v>
      </c>
      <c r="B35" s="4" t="s">
        <v>13</v>
      </c>
      <c r="C35" s="40" t="s">
        <v>193</v>
      </c>
    </row>
    <row r="36" spans="1:3" ht="15" customHeight="1">
      <c r="A36" s="3" t="s">
        <v>39</v>
      </c>
      <c r="B36" s="4" t="s">
        <v>13</v>
      </c>
      <c r="C36" s="40">
        <v>11352</v>
      </c>
    </row>
    <row r="37" spans="1:3" ht="15" customHeight="1">
      <c r="A37" s="3" t="s">
        <v>173</v>
      </c>
      <c r="B37" s="4" t="s">
        <v>13</v>
      </c>
      <c r="C37" s="40" t="s">
        <v>194</v>
      </c>
    </row>
    <row r="38" spans="1:3" ht="15" customHeight="1">
      <c r="A38" s="3" t="s">
        <v>44</v>
      </c>
      <c r="B38" s="4" t="s">
        <v>13</v>
      </c>
      <c r="C38" s="40">
        <v>40025</v>
      </c>
    </row>
    <row r="39" spans="1:3" ht="24.75" customHeight="1">
      <c r="A39" s="3" t="s">
        <v>46</v>
      </c>
      <c r="B39" s="76" t="s">
        <v>47</v>
      </c>
      <c r="C39" s="40" t="s">
        <v>195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4" t="s">
        <v>13</v>
      </c>
      <c r="C42" s="40">
        <v>114</v>
      </c>
    </row>
    <row r="43" spans="1:3" ht="16.5" customHeight="1">
      <c r="A43" s="3" t="s">
        <v>164</v>
      </c>
      <c r="B43" s="4" t="s">
        <v>13</v>
      </c>
      <c r="C43" s="40" t="s">
        <v>196</v>
      </c>
    </row>
    <row r="44" spans="1:3" ht="15" customHeight="1">
      <c r="A44" s="5" t="s">
        <v>27</v>
      </c>
      <c r="B44" s="5"/>
      <c r="C44" s="41">
        <f>SUM(C29:C43)</f>
        <v>108623.30258936391</v>
      </c>
    </row>
    <row r="45" spans="1:3" ht="15" customHeight="1">
      <c r="A45" s="42" t="s">
        <v>54</v>
      </c>
      <c r="B45" s="42"/>
      <c r="C45" s="43">
        <f>C26+C44</f>
        <v>584769.95038060017</v>
      </c>
    </row>
    <row r="46" spans="1:3">
      <c r="A46" s="1"/>
      <c r="C46" s="8"/>
    </row>
    <row r="47" spans="1:3">
      <c r="A47" s="127" t="s">
        <v>191</v>
      </c>
      <c r="B47" s="128"/>
    </row>
  </sheetData>
  <mergeCells count="3">
    <mergeCell ref="A47:B47"/>
    <mergeCell ref="B8:B9"/>
    <mergeCell ref="A8:A9"/>
  </mergeCells>
  <pageMargins left="0.7" right="0.7" top="0.75" bottom="0.75" header="0.3" footer="0.3"/>
  <pageSetup paperSize="9" scale="83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16" workbookViewId="0">
      <selection activeCell="C45" sqref="C45"/>
    </sheetView>
  </sheetViews>
  <sheetFormatPr defaultRowHeight="15"/>
  <cols>
    <col min="1" max="1" width="66.8554687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146</v>
      </c>
    </row>
    <row r="6" spans="1:3">
      <c r="A6" s="33"/>
    </row>
    <row r="7" spans="1:3">
      <c r="A7" s="34" t="s">
        <v>111</v>
      </c>
      <c r="B7" s="38">
        <v>2912.2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3941*0.4*1.45*2.1*1.22*12/2</f>
        <v>35137.010160000005</v>
      </c>
    </row>
    <row r="18" spans="1:3" ht="15" customHeight="1">
      <c r="A18" s="3" t="s">
        <v>12</v>
      </c>
      <c r="B18" s="76" t="s">
        <v>13</v>
      </c>
      <c r="C18" s="40">
        <f>0.07*B7*5/2</f>
        <v>509.63500000000005</v>
      </c>
    </row>
    <row r="19" spans="1:3" ht="15" customHeight="1">
      <c r="A19" s="3" t="s">
        <v>14</v>
      </c>
      <c r="B19" s="76" t="s">
        <v>13</v>
      </c>
      <c r="C19" s="40">
        <f>4*901.8*5/2</f>
        <v>9018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41614.178356255885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296.97743511581422</v>
      </c>
    </row>
    <row r="22" spans="1:3" ht="15" customHeight="1">
      <c r="A22" s="3" t="s">
        <v>18</v>
      </c>
      <c r="B22" s="76" t="s">
        <v>154</v>
      </c>
      <c r="C22" s="40">
        <f>3941*0.26*1.45*2.1*1.22*12/2</f>
        <v>22839.056604000005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124898.32006668742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34722.900048967676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269036.07767102681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>
        <v>322667</v>
      </c>
    </row>
    <row r="31" spans="1:3" ht="15" customHeight="1">
      <c r="A31" s="3" t="s">
        <v>175</v>
      </c>
      <c r="B31" s="76" t="s">
        <v>13</v>
      </c>
      <c r="C31" s="40"/>
    </row>
    <row r="32" spans="1:3" ht="15" customHeight="1">
      <c r="A32" s="3" t="s">
        <v>159</v>
      </c>
      <c r="B32" s="76" t="s">
        <v>13</v>
      </c>
      <c r="C32" s="40">
        <v>1276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'!B1+40610</f>
        <v>63452.209005865865</v>
      </c>
    </row>
    <row r="35" spans="1:3" ht="15" customHeight="1">
      <c r="A35" s="3" t="s">
        <v>162</v>
      </c>
      <c r="B35" s="76" t="s">
        <v>13</v>
      </c>
      <c r="C35" s="40">
        <f>175*15</f>
        <v>2625</v>
      </c>
    </row>
    <row r="36" spans="1:3" ht="15" customHeight="1">
      <c r="A36" s="3" t="s">
        <v>39</v>
      </c>
      <c r="B36" s="76" t="s">
        <v>13</v>
      </c>
      <c r="C36" s="40">
        <v>11868</v>
      </c>
    </row>
    <row r="37" spans="1:3" ht="15" customHeight="1">
      <c r="A37" s="3" t="s">
        <v>42</v>
      </c>
      <c r="B37" s="76" t="s">
        <v>13</v>
      </c>
      <c r="C37" s="40">
        <v>10568</v>
      </c>
    </row>
    <row r="38" spans="1:3" ht="15" customHeight="1">
      <c r="A38" s="3" t="s">
        <v>44</v>
      </c>
      <c r="B38" s="76" t="s">
        <v>13</v>
      </c>
      <c r="C38" s="40">
        <v>7800</v>
      </c>
    </row>
    <row r="39" spans="1:3" ht="20.25" customHeight="1">
      <c r="A39" s="3" t="s">
        <v>46</v>
      </c>
      <c r="B39" s="76" t="s">
        <v>47</v>
      </c>
      <c r="C39" s="40">
        <v>5800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1168</v>
      </c>
    </row>
    <row r="43" spans="1:3" ht="15" customHeight="1">
      <c r="A43" s="3" t="s">
        <v>164</v>
      </c>
      <c r="B43" s="76" t="s">
        <v>13</v>
      </c>
      <c r="C43" s="40">
        <v>20920</v>
      </c>
    </row>
    <row r="44" spans="1:3" ht="15" customHeight="1">
      <c r="A44" s="5" t="s">
        <v>27</v>
      </c>
      <c r="B44" s="5"/>
      <c r="C44" s="41">
        <f>SUM(C29:C43)</f>
        <v>456994.20900586585</v>
      </c>
    </row>
    <row r="45" spans="1:3" ht="15" customHeight="1">
      <c r="A45" s="42" t="s">
        <v>54</v>
      </c>
      <c r="B45" s="42"/>
      <c r="C45" s="43">
        <f>C44+C26</f>
        <v>726030.28667689266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opLeftCell="A7" workbookViewId="0">
      <selection activeCell="A57" sqref="A57"/>
    </sheetView>
  </sheetViews>
  <sheetFormatPr defaultRowHeight="15"/>
  <cols>
    <col min="1" max="1" width="66.710937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147</v>
      </c>
    </row>
    <row r="6" spans="1:3">
      <c r="A6" s="33"/>
    </row>
    <row r="7" spans="1:3">
      <c r="A7" s="34" t="s">
        <v>111</v>
      </c>
      <c r="B7" s="38">
        <v>2881.3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3941*1.01*1.45*2.1*1.22*12/2</f>
        <v>88720.950654</v>
      </c>
    </row>
    <row r="18" spans="1:3" ht="15" customHeight="1">
      <c r="A18" s="3" t="s">
        <v>12</v>
      </c>
      <c r="B18" s="76" t="s">
        <v>13</v>
      </c>
      <c r="C18" s="40">
        <f>0.07*B7*5/2</f>
        <v>504.22750000000008</v>
      </c>
    </row>
    <row r="19" spans="1:3" ht="15" customHeight="1">
      <c r="A19" s="3" t="s">
        <v>14</v>
      </c>
      <c r="B19" s="76" t="s">
        <v>13</v>
      </c>
      <c r="C19" s="40">
        <f>4*1122.5*5/2</f>
        <v>11225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41172.62966069641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293.82634564906101</v>
      </c>
    </row>
    <row r="22" spans="1:3" ht="15" customHeight="1">
      <c r="A22" s="3" t="s">
        <v>18</v>
      </c>
      <c r="B22" s="76" t="s">
        <v>154</v>
      </c>
      <c r="C22" s="40">
        <f>3941*0.35*1.45*2.1*1.22*12/2</f>
        <v>30744.883890000001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123573.08207133661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34354.47150301854</v>
      </c>
    </row>
    <row r="25" spans="1:3" s="7" customFormat="1" ht="15" customHeight="1">
      <c r="A25" s="3" t="s">
        <v>26</v>
      </c>
      <c r="B25" s="76" t="s">
        <v>25</v>
      </c>
      <c r="C25" s="40">
        <v>16650</v>
      </c>
    </row>
    <row r="26" spans="1:3" s="7" customFormat="1" ht="15" customHeight="1">
      <c r="A26" s="5" t="s">
        <v>27</v>
      </c>
      <c r="B26" s="3"/>
      <c r="C26" s="40">
        <f>SUM(C17:C25)</f>
        <v>347239.07162470056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109</v>
      </c>
      <c r="B31" s="76" t="s">
        <v>13</v>
      </c>
      <c r="C31" s="40">
        <v>5911</v>
      </c>
    </row>
    <row r="32" spans="1:3" ht="15" customHeight="1">
      <c r="A32" s="3" t="s">
        <v>159</v>
      </c>
      <c r="B32" s="76" t="s">
        <v>13</v>
      </c>
      <c r="C32" s="40">
        <f>900+6730</f>
        <v>7630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77680</v>
      </c>
    </row>
    <row r="35" spans="1:3" ht="15" customHeight="1">
      <c r="A35" s="3" t="s">
        <v>162</v>
      </c>
      <c r="B35" s="76" t="s">
        <v>13</v>
      </c>
      <c r="C35" s="40">
        <v>42900</v>
      </c>
    </row>
    <row r="36" spans="1:3" ht="15" customHeight="1">
      <c r="A36" s="3" t="s">
        <v>39</v>
      </c>
      <c r="B36" s="76" t="s">
        <v>13</v>
      </c>
      <c r="C36" s="40">
        <v>10320</v>
      </c>
    </row>
    <row r="37" spans="1:3" ht="15" customHeight="1">
      <c r="A37" s="3" t="s">
        <v>42</v>
      </c>
      <c r="B37" s="76" t="s">
        <v>13</v>
      </c>
      <c r="C37" s="40">
        <v>21800</v>
      </c>
    </row>
    <row r="38" spans="1:3" ht="15" customHeight="1">
      <c r="A38" s="3" t="s">
        <v>44</v>
      </c>
      <c r="B38" s="76" t="s">
        <v>13</v>
      </c>
      <c r="C38" s="40">
        <v>11480</v>
      </c>
    </row>
    <row r="39" spans="1:3" ht="27.75" customHeight="1">
      <c r="A39" s="3" t="s">
        <v>46</v>
      </c>
      <c r="B39" s="76" t="s">
        <v>47</v>
      </c>
      <c r="C39" s="40">
        <v>7900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f>27*5+49*5</f>
        <v>380</v>
      </c>
    </row>
    <row r="43" spans="1:3" ht="15" customHeight="1">
      <c r="A43" s="3" t="s">
        <v>164</v>
      </c>
      <c r="B43" s="76" t="s">
        <v>13</v>
      </c>
      <c r="C43" s="40">
        <v>13490</v>
      </c>
    </row>
    <row r="44" spans="1:3" ht="15" customHeight="1">
      <c r="A44" s="5" t="s">
        <v>27</v>
      </c>
      <c r="B44" s="5"/>
      <c r="C44" s="41">
        <f>SUM(C29:C43)</f>
        <v>208341</v>
      </c>
    </row>
    <row r="45" spans="1:3" ht="15" customHeight="1">
      <c r="A45" s="42" t="s">
        <v>54</v>
      </c>
      <c r="B45" s="42"/>
      <c r="C45" s="43">
        <f>C26+C44</f>
        <v>555580.07162470056</v>
      </c>
    </row>
    <row r="46" spans="1:3" ht="15" customHeight="1">
      <c r="A46" s="77"/>
      <c r="C46" s="8"/>
    </row>
    <row r="47" spans="1:3">
      <c r="A47" s="127" t="s">
        <v>62</v>
      </c>
      <c r="B47" s="128"/>
    </row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opLeftCell="A37" workbookViewId="0">
      <selection activeCell="C51" sqref="C51"/>
    </sheetView>
  </sheetViews>
  <sheetFormatPr defaultRowHeight="15"/>
  <cols>
    <col min="1" max="1" width="66.57031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148</v>
      </c>
    </row>
    <row r="6" spans="1:3">
      <c r="A6" s="33"/>
    </row>
    <row r="7" spans="1:3">
      <c r="A7" s="34" t="s">
        <v>111</v>
      </c>
      <c r="B7" s="38">
        <v>3091.3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3941*0.85*1.45*2.1*1.22*12/2</f>
        <v>74666.146589999989</v>
      </c>
    </row>
    <row r="18" spans="1:3" ht="15" customHeight="1">
      <c r="A18" s="3" t="s">
        <v>12</v>
      </c>
      <c r="B18" s="76" t="s">
        <v>13</v>
      </c>
      <c r="C18" s="40">
        <f>0.07*B7*5/2</f>
        <v>540.97750000000008</v>
      </c>
    </row>
    <row r="19" spans="1:3" ht="15" customHeight="1">
      <c r="A19" s="3" t="s">
        <v>14</v>
      </c>
      <c r="B19" s="76" t="s">
        <v>13</v>
      </c>
      <c r="C19" s="40">
        <f>4*1027.4*5/2</f>
        <v>10274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44173.446038285088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315.24151678233517</v>
      </c>
    </row>
    <row r="22" spans="1:3" ht="15" customHeight="1">
      <c r="A22" s="3" t="s">
        <v>18</v>
      </c>
      <c r="B22" s="76" t="s">
        <v>154</v>
      </c>
      <c r="C22" s="40">
        <f>3941*0.38*1.45*2.1*1.22*12/2</f>
        <v>33380.159652000002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132579.55388440037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36858.354825003022</v>
      </c>
    </row>
    <row r="25" spans="1:3" s="7" customFormat="1" ht="15" customHeight="1">
      <c r="A25" s="3" t="s">
        <v>26</v>
      </c>
      <c r="B25" s="76" t="s">
        <v>25</v>
      </c>
      <c r="C25" s="40">
        <v>16650</v>
      </c>
    </row>
    <row r="26" spans="1:3" s="7" customFormat="1" ht="15" customHeight="1">
      <c r="A26" s="5" t="s">
        <v>27</v>
      </c>
      <c r="B26" s="3"/>
      <c r="C26" s="40">
        <f>SUM(C17:C25)</f>
        <v>349437.88000647078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>
        <v>2078</v>
      </c>
    </row>
    <row r="31" spans="1:3" ht="15" customHeight="1">
      <c r="A31" s="3" t="s">
        <v>175</v>
      </c>
      <c r="B31" s="76" t="s">
        <v>13</v>
      </c>
      <c r="C31" s="40"/>
    </row>
    <row r="32" spans="1:3" ht="15" customHeight="1">
      <c r="A32" s="3" t="s">
        <v>159</v>
      </c>
      <c r="B32" s="76" t="s">
        <v>13</v>
      </c>
      <c r="C32" s="40">
        <v>1301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54461</v>
      </c>
    </row>
    <row r="35" spans="1:3" ht="15" customHeight="1">
      <c r="A35" s="3" t="s">
        <v>162</v>
      </c>
      <c r="B35" s="76" t="s">
        <v>13</v>
      </c>
      <c r="C35" s="40">
        <v>83025</v>
      </c>
    </row>
    <row r="36" spans="1:3" ht="15" customHeight="1">
      <c r="A36" s="3" t="s">
        <v>39</v>
      </c>
      <c r="B36" s="76" t="s">
        <v>13</v>
      </c>
      <c r="C36" s="40">
        <v>10062</v>
      </c>
    </row>
    <row r="37" spans="1:3" ht="15" customHeight="1">
      <c r="A37" s="3" t="s">
        <v>42</v>
      </c>
      <c r="B37" s="76" t="s">
        <v>13</v>
      </c>
      <c r="C37" s="40">
        <v>30813</v>
      </c>
    </row>
    <row r="38" spans="1:3" ht="15" customHeight="1">
      <c r="A38" s="3" t="s">
        <v>44</v>
      </c>
      <c r="B38" s="76" t="s">
        <v>13</v>
      </c>
      <c r="C38" s="40">
        <v>21925</v>
      </c>
    </row>
    <row r="39" spans="1:3" ht="21.75" customHeight="1">
      <c r="A39" s="3" t="s">
        <v>46</v>
      </c>
      <c r="B39" s="76" t="s">
        <v>47</v>
      </c>
      <c r="C39" s="40">
        <v>21925</v>
      </c>
    </row>
    <row r="40" spans="1:3" ht="15" customHeight="1">
      <c r="A40" s="3" t="s">
        <v>48</v>
      </c>
      <c r="B40" s="76" t="s">
        <v>161</v>
      </c>
      <c r="C40" s="40">
        <v>18850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2086</v>
      </c>
    </row>
    <row r="43" spans="1:3" ht="15" customHeight="1">
      <c r="A43" s="3" t="s">
        <v>164</v>
      </c>
      <c r="B43" s="76" t="s">
        <v>13</v>
      </c>
      <c r="C43" s="40">
        <v>20238</v>
      </c>
    </row>
    <row r="44" spans="1:3" ht="15" customHeight="1">
      <c r="A44" s="5" t="s">
        <v>27</v>
      </c>
      <c r="B44" s="5"/>
      <c r="C44" s="41">
        <f>SUM(C29:C43)</f>
        <v>266764</v>
      </c>
    </row>
    <row r="45" spans="1:3" ht="15" customHeight="1">
      <c r="A45" s="42" t="s">
        <v>54</v>
      </c>
      <c r="B45" s="42"/>
      <c r="C45" s="43">
        <f>C26+C44</f>
        <v>616201.88000647072</v>
      </c>
    </row>
    <row r="46" spans="1:3" ht="15" customHeight="1">
      <c r="A46" s="77"/>
      <c r="C46" s="8"/>
    </row>
    <row r="47" spans="1:3">
      <c r="A47" s="117"/>
      <c r="B47" s="92"/>
      <c r="C47" s="100"/>
    </row>
    <row r="48" spans="1:3">
      <c r="A48" s="127" t="s">
        <v>62</v>
      </c>
      <c r="B48" s="128"/>
    </row>
  </sheetData>
  <mergeCells count="3">
    <mergeCell ref="A48:B48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workbookViewId="0">
      <selection activeCell="B6" sqref="B6"/>
    </sheetView>
  </sheetViews>
  <sheetFormatPr defaultRowHeight="15"/>
  <cols>
    <col min="1" max="1" width="66.57031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56</v>
      </c>
      <c r="B4" s="124" t="s">
        <v>202</v>
      </c>
    </row>
    <row r="5" spans="1:3">
      <c r="A5" s="32" t="s">
        <v>149</v>
      </c>
    </row>
    <row r="6" spans="1:3">
      <c r="A6" s="33"/>
    </row>
    <row r="7" spans="1:3">
      <c r="A7" s="34" t="s">
        <v>111</v>
      </c>
      <c r="B7" s="38">
        <v>3041.8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59</v>
      </c>
      <c r="B10" s="39">
        <v>177034.54</v>
      </c>
    </row>
    <row r="11" spans="1:3" ht="15" customHeight="1">
      <c r="A11" s="5" t="s">
        <v>4</v>
      </c>
      <c r="B11" s="39">
        <v>680947.33</v>
      </c>
    </row>
    <row r="12" spans="1:3" ht="15" customHeight="1">
      <c r="A12" s="5" t="s">
        <v>5</v>
      </c>
      <c r="B12" s="39">
        <v>788201.61</v>
      </c>
    </row>
    <row r="13" spans="1:3" ht="15" customHeight="1">
      <c r="A13" s="5" t="s">
        <v>60</v>
      </c>
      <c r="B13" s="39">
        <v>64650.38</v>
      </c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3941*0.5*1.45*2.1*1.22*6.5</f>
        <v>47581.367924999999</v>
      </c>
    </row>
    <row r="18" spans="1:3" ht="15" customHeight="1">
      <c r="A18" s="3" t="s">
        <v>12</v>
      </c>
      <c r="B18" s="76" t="s">
        <v>13</v>
      </c>
      <c r="C18" s="40">
        <f>0.07*B7*5+78500</f>
        <v>79564.63</v>
      </c>
    </row>
    <row r="19" spans="1:3" ht="15" customHeight="1">
      <c r="A19" s="3" t="s">
        <v>14</v>
      </c>
      <c r="B19" s="76" t="s">
        <v>13</v>
      </c>
      <c r="C19" s="40">
        <f>4*992*5</f>
        <v>19840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</f>
        <v>86932.221498564075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'!B1*2</f>
        <v>1240.7746200608251</v>
      </c>
    </row>
    <row r="22" spans="1:3" ht="15" customHeight="1">
      <c r="A22" s="3" t="s">
        <v>18</v>
      </c>
      <c r="B22" s="76" t="s">
        <v>154</v>
      </c>
      <c r="C22" s="40">
        <f>3941*0.38*1.45*2.1*1.22*6.5</f>
        <v>36161.839623000007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130456.59981417822</v>
      </c>
    </row>
    <row r="24" spans="1:3" s="7" customFormat="1" ht="15" customHeight="1">
      <c r="A24" s="3" t="s">
        <v>24</v>
      </c>
      <c r="B24" s="76" t="s">
        <v>25</v>
      </c>
      <c r="C24" s="40">
        <f>0.82*B7*6.5+B7*'общие данные '!C8/'общие данные '!B1</f>
        <v>28886.477512499063</v>
      </c>
    </row>
    <row r="25" spans="1:3" s="7" customFormat="1" ht="15" customHeight="1">
      <c r="A25" s="3" t="s">
        <v>26</v>
      </c>
      <c r="B25" s="76" t="s">
        <v>25</v>
      </c>
      <c r="C25" s="40">
        <f>1800*6</f>
        <v>10800</v>
      </c>
    </row>
    <row r="26" spans="1:3" s="7" customFormat="1" ht="15" customHeight="1">
      <c r="A26" s="5" t="s">
        <v>27</v>
      </c>
      <c r="B26" s="3"/>
      <c r="C26" s="40">
        <f>SUM(C17:C25)</f>
        <v>441463.91099330224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>
        <v>59400</v>
      </c>
    </row>
    <row r="30" spans="1:3" ht="15" customHeight="1">
      <c r="A30" s="3" t="s">
        <v>156</v>
      </c>
      <c r="B30" s="76" t="s">
        <v>13</v>
      </c>
      <c r="C30" s="40">
        <v>13830</v>
      </c>
    </row>
    <row r="31" spans="1:3" ht="15" customHeight="1">
      <c r="A31" s="3" t="s">
        <v>175</v>
      </c>
      <c r="B31" s="76" t="s">
        <v>13</v>
      </c>
      <c r="C31" s="40">
        <v>33725</v>
      </c>
    </row>
    <row r="32" spans="1:3" ht="15" customHeight="1">
      <c r="A32" s="3" t="s">
        <v>159</v>
      </c>
      <c r="B32" s="76" t="s">
        <v>13</v>
      </c>
      <c r="C32" s="40">
        <v>1163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</f>
        <v>23858.74299637484</v>
      </c>
    </row>
    <row r="35" spans="1:3" ht="15" customHeight="1">
      <c r="A35" s="3" t="s">
        <v>162</v>
      </c>
      <c r="B35" s="76" t="s">
        <v>13</v>
      </c>
      <c r="C35" s="40">
        <v>83044</v>
      </c>
    </row>
    <row r="36" spans="1:3" ht="15" customHeight="1">
      <c r="A36" s="3" t="s">
        <v>39</v>
      </c>
      <c r="B36" s="76" t="s">
        <v>13</v>
      </c>
      <c r="C36" s="40">
        <v>10320</v>
      </c>
    </row>
    <row r="37" spans="1:3" ht="15" customHeight="1">
      <c r="A37" s="3" t="s">
        <v>42</v>
      </c>
      <c r="B37" s="76" t="s">
        <v>13</v>
      </c>
      <c r="C37" s="40"/>
    </row>
    <row r="38" spans="1:3" ht="15" customHeight="1">
      <c r="A38" s="3" t="s">
        <v>44</v>
      </c>
      <c r="B38" s="76" t="s">
        <v>13</v>
      </c>
      <c r="C38" s="40"/>
    </row>
    <row r="39" spans="1:3" ht="24" customHeight="1">
      <c r="A39" s="3" t="s">
        <v>46</v>
      </c>
      <c r="B39" s="76" t="s">
        <v>47</v>
      </c>
      <c r="C39" s="40"/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456</v>
      </c>
    </row>
    <row r="43" spans="1:3" ht="15" customHeight="1">
      <c r="A43" s="3" t="s">
        <v>164</v>
      </c>
      <c r="B43" s="76" t="s">
        <v>13</v>
      </c>
      <c r="C43" s="40">
        <v>5456</v>
      </c>
    </row>
    <row r="44" spans="1:3" ht="15" customHeight="1">
      <c r="A44" s="5" t="s">
        <v>27</v>
      </c>
      <c r="B44" s="5"/>
      <c r="C44" s="41">
        <f>SUM(C29:C43)</f>
        <v>240102.74299637484</v>
      </c>
    </row>
    <row r="45" spans="1:3" ht="15" customHeight="1">
      <c r="A45" s="42" t="s">
        <v>54</v>
      </c>
      <c r="B45" s="42"/>
      <c r="C45" s="43">
        <f>C26+C44</f>
        <v>681566.65398967708</v>
      </c>
    </row>
    <row r="46" spans="1:3" ht="15" customHeight="1">
      <c r="A46" s="77"/>
      <c r="C46" s="8"/>
    </row>
    <row r="47" spans="1:3" ht="15" customHeight="1">
      <c r="A47" s="42" t="s">
        <v>177</v>
      </c>
      <c r="B47" s="115" t="s">
        <v>178</v>
      </c>
      <c r="C47" s="43" t="s">
        <v>179</v>
      </c>
    </row>
    <row r="48" spans="1:3" ht="15" customHeight="1">
      <c r="A48" s="112" t="s">
        <v>185</v>
      </c>
      <c r="B48" s="137">
        <v>338059.2</v>
      </c>
      <c r="C48" s="138"/>
    </row>
    <row r="49" spans="1:3" ht="15" customHeight="1">
      <c r="A49" s="114" t="s">
        <v>180</v>
      </c>
      <c r="B49" s="116"/>
      <c r="C49" s="113"/>
    </row>
    <row r="50" spans="1:3" ht="15" customHeight="1">
      <c r="A50" s="114" t="s">
        <v>182</v>
      </c>
      <c r="B50" s="116"/>
      <c r="C50" s="113"/>
    </row>
    <row r="51" spans="1:3" ht="33.75">
      <c r="A51" s="114" t="s">
        <v>181</v>
      </c>
      <c r="B51" s="116">
        <v>911614.75</v>
      </c>
      <c r="C51" s="113">
        <v>1184925.1000000001</v>
      </c>
    </row>
    <row r="52" spans="1:3">
      <c r="A52" s="112" t="s">
        <v>183</v>
      </c>
      <c r="B52" s="116">
        <f>SUM(B49:B51)</f>
        <v>911614.75</v>
      </c>
      <c r="C52" s="113">
        <f>SUM(C49:C51)</f>
        <v>1184925.1000000001</v>
      </c>
    </row>
    <row r="53" spans="1:3">
      <c r="A53" s="112" t="s">
        <v>184</v>
      </c>
      <c r="B53" s="139">
        <f>B52-C52+B48</f>
        <v>64748.849999999919</v>
      </c>
      <c r="C53" s="138"/>
    </row>
    <row r="54" spans="1:3">
      <c r="A54" s="117"/>
      <c r="B54" s="92"/>
      <c r="C54" s="100"/>
    </row>
    <row r="55" spans="1:3">
      <c r="A55" s="127" t="s">
        <v>62</v>
      </c>
      <c r="B55" s="128"/>
    </row>
  </sheetData>
  <mergeCells count="5">
    <mergeCell ref="A55:B55"/>
    <mergeCell ref="A8:A9"/>
    <mergeCell ref="B8:B9"/>
    <mergeCell ref="B48:C48"/>
    <mergeCell ref="B53:C53"/>
  </mergeCells>
  <pageMargins left="0.7" right="0.7" top="0.75" bottom="0.75" header="0.3" footer="0.3"/>
  <pageSetup paperSize="9" scale="83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workbookViewId="0">
      <selection activeCell="C44" sqref="C44"/>
    </sheetView>
  </sheetViews>
  <sheetFormatPr defaultRowHeight="15"/>
  <cols>
    <col min="1" max="1" width="67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150</v>
      </c>
    </row>
    <row r="6" spans="1:3">
      <c r="A6" s="33"/>
    </row>
    <row r="7" spans="1:3">
      <c r="A7" s="34" t="s">
        <v>111</v>
      </c>
      <c r="B7" s="38">
        <v>2699.5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3941*0.75*1.45*2.1*1.22*12/2</f>
        <v>65881.894049999988</v>
      </c>
    </row>
    <row r="18" spans="1:3" ht="15" customHeight="1">
      <c r="A18" s="3" t="s">
        <v>12</v>
      </c>
      <c r="B18" s="76" t="s">
        <v>13</v>
      </c>
      <c r="C18" s="40">
        <f>0.07*B7*5/2</f>
        <v>472.41250000000008</v>
      </c>
    </row>
    <row r="19" spans="1:3" ht="15" customHeight="1">
      <c r="A19" s="3" t="s">
        <v>14</v>
      </c>
      <c r="B19" s="76" t="s">
        <v>13</v>
      </c>
      <c r="C19" s="40">
        <f>4*1709.5*5/2</f>
        <v>17095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38574.780053812501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275.28692606796938</v>
      </c>
    </row>
    <row r="22" spans="1:3" ht="15" customHeight="1">
      <c r="A22" s="3" t="s">
        <v>18</v>
      </c>
      <c r="B22" s="76" t="s">
        <v>154</v>
      </c>
      <c r="C22" s="40">
        <f>3941*0.28*1.45*2.1*1.22*12/2</f>
        <v>24595.907112000001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115776.05075888423</v>
      </c>
    </row>
    <row r="24" spans="1:3" s="7" customFormat="1" ht="15" customHeight="1">
      <c r="A24" s="3" t="s">
        <v>24</v>
      </c>
      <c r="B24" s="76" t="s">
        <v>25</v>
      </c>
      <c r="C24" s="40">
        <f>0.82*B7*12+B7*'общие данные '!C8/'общие данные '!B1/2</f>
        <v>32186.823941414819</v>
      </c>
    </row>
    <row r="25" spans="1:3" s="7" customFormat="1" ht="15" customHeight="1">
      <c r="A25" s="3" t="s">
        <v>26</v>
      </c>
      <c r="B25" s="76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294858.15534217953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175</v>
      </c>
      <c r="B31" s="76" t="s">
        <v>13</v>
      </c>
      <c r="C31" s="40">
        <v>10220</v>
      </c>
    </row>
    <row r="32" spans="1:3" ht="15" customHeight="1">
      <c r="A32" s="3" t="s">
        <v>159</v>
      </c>
      <c r="B32" s="76" t="s">
        <v>13</v>
      </c>
      <c r="C32" s="40">
        <v>112870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79674</v>
      </c>
    </row>
    <row r="35" spans="1:3" ht="15" customHeight="1">
      <c r="A35" s="3" t="s">
        <v>162</v>
      </c>
      <c r="B35" s="76" t="s">
        <v>13</v>
      </c>
      <c r="C35" s="40">
        <v>9010</v>
      </c>
    </row>
    <row r="36" spans="1:3" ht="15" customHeight="1">
      <c r="A36" s="3" t="s">
        <v>39</v>
      </c>
      <c r="B36" s="76" t="s">
        <v>13</v>
      </c>
      <c r="C36" s="40">
        <v>11107</v>
      </c>
    </row>
    <row r="37" spans="1:3" ht="15" customHeight="1">
      <c r="A37" s="3" t="s">
        <v>42</v>
      </c>
      <c r="B37" s="76" t="s">
        <v>13</v>
      </c>
      <c r="C37" s="40">
        <v>11009</v>
      </c>
    </row>
    <row r="38" spans="1:3" ht="15" customHeight="1">
      <c r="A38" s="3" t="s">
        <v>44</v>
      </c>
      <c r="B38" s="76" t="s">
        <v>13</v>
      </c>
      <c r="C38" s="40">
        <v>12025</v>
      </c>
    </row>
    <row r="39" spans="1:3" ht="21.75" customHeight="1">
      <c r="A39" s="3" t="s">
        <v>46</v>
      </c>
      <c r="B39" s="76" t="s">
        <v>47</v>
      </c>
      <c r="C39" s="40">
        <v>12025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14758</v>
      </c>
    </row>
    <row r="43" spans="1:3" ht="15" customHeight="1">
      <c r="A43" s="3" t="s">
        <v>164</v>
      </c>
      <c r="B43" s="76" t="s">
        <v>13</v>
      </c>
      <c r="C43" s="40">
        <v>11943</v>
      </c>
    </row>
    <row r="44" spans="1:3" ht="15" customHeight="1">
      <c r="A44" s="5" t="s">
        <v>27</v>
      </c>
      <c r="B44" s="5"/>
      <c r="C44" s="41">
        <f>SUM(C29:C43)</f>
        <v>293491</v>
      </c>
    </row>
    <row r="45" spans="1:3" ht="15" customHeight="1">
      <c r="A45" s="42" t="s">
        <v>54</v>
      </c>
      <c r="B45" s="42"/>
      <c r="C45" s="43">
        <f>C44+C26</f>
        <v>588349.15534217958</v>
      </c>
    </row>
    <row r="46" spans="1:3" ht="15" customHeight="1">
      <c r="A46" s="77"/>
      <c r="C46" s="8"/>
    </row>
    <row r="47" spans="1:3" ht="15" customHeight="1">
      <c r="A47" s="127" t="s">
        <v>62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workbookViewId="0">
      <selection activeCell="B13" sqref="B10:B13"/>
    </sheetView>
  </sheetViews>
  <sheetFormatPr defaultRowHeight="15"/>
  <cols>
    <col min="1" max="1" width="67.140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114</v>
      </c>
    </row>
    <row r="6" spans="1:3">
      <c r="A6" s="33"/>
    </row>
    <row r="7" spans="1:3">
      <c r="A7" s="34" t="s">
        <v>111</v>
      </c>
      <c r="B7" s="38">
        <f>площади!F28</f>
        <v>1027.2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v>41285.980000000003</v>
      </c>
    </row>
    <row r="18" spans="1:3" ht="15" customHeight="1">
      <c r="A18" s="3" t="s">
        <v>12</v>
      </c>
      <c r="B18" s="76" t="s">
        <v>13</v>
      </c>
      <c r="C18" s="40">
        <v>179.76</v>
      </c>
    </row>
    <row r="19" spans="1:3" ht="15" customHeight="1">
      <c r="A19" s="3" t="s">
        <v>14</v>
      </c>
      <c r="B19" s="76" t="s">
        <v>13</v>
      </c>
      <c r="C19" s="40">
        <v>4330</v>
      </c>
    </row>
    <row r="20" spans="1:3" ht="15" customHeight="1">
      <c r="A20" s="3" t="s">
        <v>15</v>
      </c>
      <c r="B20" s="76" t="s">
        <v>16</v>
      </c>
      <c r="C20" s="40">
        <v>14678.28</v>
      </c>
    </row>
    <row r="21" spans="1:3" ht="15" customHeight="1">
      <c r="A21" s="3" t="s">
        <v>17</v>
      </c>
      <c r="B21" s="76" t="s">
        <v>13</v>
      </c>
      <c r="C21" s="40">
        <v>104.75</v>
      </c>
    </row>
    <row r="22" spans="1:3" ht="15.75" customHeight="1">
      <c r="A22" s="3" t="s">
        <v>18</v>
      </c>
      <c r="B22" s="76" t="s">
        <v>154</v>
      </c>
      <c r="C22" s="40">
        <v>14054.81</v>
      </c>
    </row>
    <row r="23" spans="1:3" ht="60" customHeight="1">
      <c r="A23" s="6" t="s">
        <v>169</v>
      </c>
      <c r="B23" s="76" t="s">
        <v>23</v>
      </c>
      <c r="C23" s="40">
        <v>44054.52</v>
      </c>
    </row>
    <row r="24" spans="1:3" s="7" customFormat="1" ht="15" customHeight="1">
      <c r="A24" s="3" t="s">
        <v>24</v>
      </c>
      <c r="B24" s="4" t="s">
        <v>25</v>
      </c>
      <c r="C24" s="40" t="s">
        <v>192</v>
      </c>
    </row>
    <row r="25" spans="1:3" s="7" customFormat="1" ht="15" customHeight="1">
      <c r="A25" s="3" t="s">
        <v>26</v>
      </c>
      <c r="B25" s="4" t="s">
        <v>25</v>
      </c>
      <c r="C25" s="40"/>
    </row>
    <row r="26" spans="1:3" s="7" customFormat="1" ht="15" customHeight="1">
      <c r="A26" s="5" t="s">
        <v>27</v>
      </c>
      <c r="B26" s="3"/>
      <c r="C26" s="41">
        <f>SUM(C17:C25)</f>
        <v>118688.1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175</v>
      </c>
      <c r="B31" s="76" t="s">
        <v>13</v>
      </c>
      <c r="C31" s="40">
        <v>3757</v>
      </c>
    </row>
    <row r="32" spans="1:3" ht="15" customHeight="1">
      <c r="A32" s="3" t="s">
        <v>159</v>
      </c>
      <c r="B32" s="76" t="s">
        <v>13</v>
      </c>
      <c r="C32" s="40">
        <v>549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'!B1+2424/2</f>
        <v>9268.9731099599685</v>
      </c>
    </row>
    <row r="35" spans="1:3" ht="15" customHeight="1">
      <c r="A35" s="3" t="s">
        <v>162</v>
      </c>
      <c r="B35" s="76" t="s">
        <v>13</v>
      </c>
      <c r="C35" s="40">
        <v>2939</v>
      </c>
    </row>
    <row r="36" spans="1:3" ht="15" customHeight="1">
      <c r="A36" s="3" t="s">
        <v>39</v>
      </c>
      <c r="B36" s="76" t="s">
        <v>13</v>
      </c>
      <c r="C36" s="40">
        <v>3096</v>
      </c>
    </row>
    <row r="37" spans="1:3" ht="15" customHeight="1">
      <c r="A37" s="3" t="s">
        <v>42</v>
      </c>
      <c r="B37" s="76" t="s">
        <v>13</v>
      </c>
      <c r="C37" s="40">
        <v>24647</v>
      </c>
    </row>
    <row r="38" spans="1:3" ht="15" customHeight="1">
      <c r="A38" s="3" t="s">
        <v>44</v>
      </c>
      <c r="B38" s="76" t="s">
        <v>13</v>
      </c>
      <c r="C38" s="40">
        <v>7787.5</v>
      </c>
    </row>
    <row r="39" spans="1:3" ht="20.25" customHeight="1">
      <c r="A39" s="3" t="s">
        <v>46</v>
      </c>
      <c r="B39" s="76" t="s">
        <v>47</v>
      </c>
      <c r="C39" s="40">
        <v>7787.5</v>
      </c>
    </row>
    <row r="40" spans="1:3" ht="15" customHeight="1">
      <c r="A40" s="3" t="s">
        <v>48</v>
      </c>
      <c r="B40" s="76" t="s">
        <v>161</v>
      </c>
      <c r="C40" s="40">
        <v>4425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f>27*3+49*3</f>
        <v>228</v>
      </c>
    </row>
    <row r="43" spans="1:3" ht="15" customHeight="1">
      <c r="A43" s="3" t="s">
        <v>164</v>
      </c>
      <c r="B43" s="76" t="s">
        <v>13</v>
      </c>
      <c r="C43" s="40">
        <v>12276</v>
      </c>
    </row>
    <row r="44" spans="1:3" ht="15" customHeight="1">
      <c r="A44" s="5" t="s">
        <v>27</v>
      </c>
      <c r="B44" s="5"/>
      <c r="C44" s="41">
        <f>SUM(C29:C43)</f>
        <v>76760.973109959974</v>
      </c>
    </row>
    <row r="45" spans="1:3" ht="15" customHeight="1">
      <c r="A45" s="42" t="s">
        <v>54</v>
      </c>
      <c r="B45" s="42"/>
      <c r="C45" s="43">
        <f>C26+C44</f>
        <v>195449.07310995998</v>
      </c>
    </row>
    <row r="46" spans="1:3" ht="15" customHeight="1">
      <c r="A46" s="77"/>
      <c r="C46" s="8"/>
    </row>
    <row r="47" spans="1:3" ht="15" customHeight="1">
      <c r="A47" s="127" t="s">
        <v>197</v>
      </c>
      <c r="B47" s="128"/>
    </row>
    <row r="48" spans="1:3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>
      <selection activeCell="B13" sqref="B10:B13"/>
    </sheetView>
  </sheetViews>
  <sheetFormatPr defaultRowHeight="15"/>
  <cols>
    <col min="1" max="1" width="64.28515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115</v>
      </c>
    </row>
    <row r="6" spans="1:3">
      <c r="A6" s="33"/>
    </row>
    <row r="7" spans="1:3">
      <c r="A7" s="34" t="s">
        <v>111</v>
      </c>
      <c r="B7" s="38">
        <f>площади!F29</f>
        <v>2900.9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3941*1.17*1.45*2.1*1.22*12/2</f>
        <v>102775.75471799998</v>
      </c>
    </row>
    <row r="18" spans="1:3" ht="15" customHeight="1">
      <c r="A18" s="3" t="s">
        <v>12</v>
      </c>
      <c r="B18" s="76" t="s">
        <v>13</v>
      </c>
      <c r="C18" s="40">
        <f>0.07*B7*5/2</f>
        <v>507.65750000000003</v>
      </c>
    </row>
    <row r="19" spans="1:3" ht="15" customHeight="1">
      <c r="A19" s="3" t="s">
        <v>14</v>
      </c>
      <c r="B19" s="76" t="s">
        <v>13</v>
      </c>
      <c r="C19" s="40">
        <f>4*538.7*5/2</f>
        <v>5387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41452.705855938017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295.82509495483328</v>
      </c>
    </row>
    <row r="22" spans="1:3" ht="15" customHeight="1">
      <c r="A22" s="3" t="s">
        <v>18</v>
      </c>
      <c r="B22" s="76" t="s">
        <v>154</v>
      </c>
      <c r="C22" s="40">
        <f>3941*0.3*1.45*2.1*1.22*12/2</f>
        <v>26352.757619999997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124413.68610722256</v>
      </c>
    </row>
    <row r="24" spans="1:3" s="7" customFormat="1" ht="15" customHeight="1">
      <c r="A24" s="3" t="s">
        <v>24</v>
      </c>
      <c r="B24" s="4" t="s">
        <v>25</v>
      </c>
      <c r="C24" s="40">
        <f>0.82*B7*12+B7*'общие данные '!C8/'общие данные '!B1/2</f>
        <v>34588.167279737085</v>
      </c>
    </row>
    <row r="25" spans="1:3" s="7" customFormat="1" ht="15" customHeight="1">
      <c r="A25" s="3" t="s">
        <v>26</v>
      </c>
      <c r="B25" s="4" t="s">
        <v>25</v>
      </c>
      <c r="C25" s="40"/>
    </row>
    <row r="26" spans="1:3" s="7" customFormat="1" ht="15" customHeight="1">
      <c r="A26" s="5" t="s">
        <v>27</v>
      </c>
      <c r="B26" s="3"/>
      <c r="C26" s="41">
        <f>SUM(C17:C25)</f>
        <v>335773.55417585245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>
        <v>8606</v>
      </c>
    </row>
    <row r="31" spans="1:3" ht="15" customHeight="1">
      <c r="A31" s="3" t="s">
        <v>175</v>
      </c>
      <c r="B31" s="76" t="s">
        <v>13</v>
      </c>
      <c r="C31" s="40">
        <v>4806</v>
      </c>
    </row>
    <row r="32" spans="1:3" ht="15" customHeight="1">
      <c r="A32" s="3" t="s">
        <v>159</v>
      </c>
      <c r="B32" s="76" t="s">
        <v>13</v>
      </c>
      <c r="C32" s="40">
        <v>1248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v>46307</v>
      </c>
    </row>
    <row r="35" spans="1:3" ht="15" customHeight="1">
      <c r="A35" s="3" t="s">
        <v>162</v>
      </c>
      <c r="B35" s="76" t="s">
        <v>13</v>
      </c>
      <c r="C35" s="40">
        <v>114898</v>
      </c>
    </row>
    <row r="36" spans="1:3" ht="15" customHeight="1">
      <c r="A36" s="3" t="s">
        <v>39</v>
      </c>
      <c r="B36" s="76" t="s">
        <v>13</v>
      </c>
      <c r="C36" s="40">
        <v>10320</v>
      </c>
    </row>
    <row r="37" spans="1:3" ht="15" customHeight="1">
      <c r="A37" s="3" t="s">
        <v>42</v>
      </c>
      <c r="B37" s="76" t="s">
        <v>13</v>
      </c>
      <c r="C37" s="40">
        <v>51107</v>
      </c>
    </row>
    <row r="38" spans="1:3" ht="15" customHeight="1">
      <c r="A38" s="3" t="s">
        <v>44</v>
      </c>
      <c r="B38" s="76" t="s">
        <v>13</v>
      </c>
      <c r="C38" s="40">
        <v>32075</v>
      </c>
    </row>
    <row r="39" spans="1:3" ht="21.75" customHeight="1">
      <c r="A39" s="3" t="s">
        <v>46</v>
      </c>
      <c r="B39" s="76" t="s">
        <v>47</v>
      </c>
      <c r="C39" s="40">
        <v>32075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f>27*3+49*3</f>
        <v>228</v>
      </c>
    </row>
    <row r="43" spans="1:3" ht="25.5" customHeight="1">
      <c r="A43" s="3" t="s">
        <v>164</v>
      </c>
      <c r="B43" s="76" t="s">
        <v>13</v>
      </c>
      <c r="C43" s="40">
        <v>32248</v>
      </c>
    </row>
    <row r="44" spans="1:3" ht="15" customHeight="1">
      <c r="A44" s="5" t="s">
        <v>27</v>
      </c>
      <c r="B44" s="5"/>
      <c r="C44" s="41">
        <f>SUM(C29:C43)</f>
        <v>342768</v>
      </c>
    </row>
    <row r="45" spans="1:3" ht="15" customHeight="1">
      <c r="A45" s="42" t="s">
        <v>54</v>
      </c>
      <c r="B45" s="42"/>
      <c r="C45" s="43">
        <f>C26+C44</f>
        <v>678541.55417585245</v>
      </c>
    </row>
    <row r="46" spans="1:3" ht="15" customHeight="1">
      <c r="A46" s="77"/>
      <c r="C46" s="8"/>
    </row>
    <row r="47" spans="1:3" ht="15" customHeight="1">
      <c r="A47" s="127" t="s">
        <v>191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28" workbookViewId="0">
      <selection activeCell="C32" sqref="C32"/>
    </sheetView>
  </sheetViews>
  <sheetFormatPr defaultRowHeight="15"/>
  <cols>
    <col min="1" max="1" width="64.28515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116</v>
      </c>
    </row>
    <row r="6" spans="1:3">
      <c r="A6" s="33"/>
    </row>
    <row r="7" spans="1:3">
      <c r="A7" s="34" t="s">
        <v>111</v>
      </c>
      <c r="B7" s="38">
        <f>площади!F31</f>
        <v>2899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198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3941*0.81*1.45*2.1*1.22*12/2</f>
        <v>71152.445573999998</v>
      </c>
    </row>
    <row r="18" spans="1:3" ht="15" customHeight="1">
      <c r="A18" s="3" t="s">
        <v>12</v>
      </c>
      <c r="B18" s="76" t="s">
        <v>13</v>
      </c>
      <c r="C18" s="40">
        <f>0.07*B7*5/2</f>
        <v>507.32500000000005</v>
      </c>
    </row>
    <row r="19" spans="1:3" ht="15" customHeight="1">
      <c r="A19" s="3" t="s">
        <v>14</v>
      </c>
      <c r="B19" s="76" t="s">
        <v>13</v>
      </c>
      <c r="C19" s="40">
        <f>4*1855*5/2</f>
        <v>18550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41425.555612521741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</f>
        <v>591.26267728915968</v>
      </c>
    </row>
    <row r="22" spans="1:3" ht="15" customHeight="1">
      <c r="A22" s="3" t="s">
        <v>18</v>
      </c>
      <c r="B22" s="76" t="s">
        <v>154</v>
      </c>
      <c r="C22" s="40">
        <f>3941*0.26*1.45*2.1*1.22*12/2</f>
        <v>22839.056604000005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124332.19898129483</v>
      </c>
    </row>
    <row r="24" spans="1:3" s="7" customFormat="1" ht="15" customHeight="1">
      <c r="A24" s="3" t="s">
        <v>24</v>
      </c>
      <c r="B24" s="4" t="s">
        <v>25</v>
      </c>
      <c r="C24" s="40">
        <f>0.82*B7*12+B7*'общие данные '!C8/'общие данные '!B1/2</f>
        <v>34565.513097300078</v>
      </c>
    </row>
    <row r="25" spans="1:3" s="7" customFormat="1" ht="15" customHeight="1">
      <c r="A25" s="3" t="s">
        <v>26</v>
      </c>
      <c r="B25" s="4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313963.35754640581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>
        <v>84000</v>
      </c>
    </row>
    <row r="31" spans="1:3" ht="15" customHeight="1">
      <c r="A31" s="3" t="s">
        <v>175</v>
      </c>
      <c r="B31" s="76" t="s">
        <v>13</v>
      </c>
      <c r="C31" s="40">
        <v>223802</v>
      </c>
    </row>
    <row r="32" spans="1:3" ht="15" customHeight="1">
      <c r="A32" s="3" t="s">
        <v>159</v>
      </c>
      <c r="B32" s="76" t="s">
        <v>13</v>
      </c>
      <c r="C32" s="40">
        <v>1286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'!B1+21252</f>
        <v>43990.673136462181</v>
      </c>
    </row>
    <row r="35" spans="1:3" ht="15" customHeight="1">
      <c r="A35" s="3" t="s">
        <v>162</v>
      </c>
      <c r="B35" s="76" t="s">
        <v>13</v>
      </c>
      <c r="C35" s="40">
        <v>15250</v>
      </c>
    </row>
    <row r="36" spans="1:3" ht="15" customHeight="1">
      <c r="A36" s="3" t="s">
        <v>39</v>
      </c>
      <c r="B36" s="76" t="s">
        <v>13</v>
      </c>
      <c r="C36" s="40">
        <v>10320</v>
      </c>
    </row>
    <row r="37" spans="1:3" ht="15" customHeight="1">
      <c r="A37" s="3" t="s">
        <v>42</v>
      </c>
      <c r="B37" s="76" t="s">
        <v>13</v>
      </c>
      <c r="C37" s="40">
        <v>25407</v>
      </c>
    </row>
    <row r="38" spans="1:3" ht="15" customHeight="1">
      <c r="A38" s="3" t="s">
        <v>44</v>
      </c>
      <c r="B38" s="76" t="s">
        <v>13</v>
      </c>
      <c r="C38" s="40">
        <v>15962.5</v>
      </c>
    </row>
    <row r="39" spans="1:3" ht="24" customHeight="1">
      <c r="A39" s="3" t="s">
        <v>46</v>
      </c>
      <c r="B39" s="76" t="s">
        <v>47</v>
      </c>
      <c r="C39" s="40">
        <v>15962.5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v>1912</v>
      </c>
    </row>
    <row r="43" spans="1:3" ht="24.75" customHeight="1">
      <c r="A43" s="3" t="s">
        <v>164</v>
      </c>
      <c r="B43" s="76" t="s">
        <v>13</v>
      </c>
      <c r="C43" s="40">
        <v>15460</v>
      </c>
    </row>
    <row r="44" spans="1:3" ht="15" customHeight="1">
      <c r="A44" s="5" t="s">
        <v>27</v>
      </c>
      <c r="B44" s="5"/>
      <c r="C44" s="41">
        <f>SUM(C29:C43)</f>
        <v>462202.67313646217</v>
      </c>
    </row>
    <row r="45" spans="1:3" ht="15" customHeight="1">
      <c r="A45" s="42" t="s">
        <v>54</v>
      </c>
      <c r="B45" s="42"/>
      <c r="C45" s="43">
        <f>C26+C44</f>
        <v>776166.03068286797</v>
      </c>
    </row>
    <row r="46" spans="1:3" ht="15" customHeight="1">
      <c r="A46" s="77"/>
      <c r="C46" s="8"/>
    </row>
    <row r="47" spans="1:3" ht="15" customHeight="1">
      <c r="A47" s="127" t="s">
        <v>199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workbookViewId="0">
      <selection activeCell="B13" sqref="B10:B13"/>
    </sheetView>
  </sheetViews>
  <sheetFormatPr defaultRowHeight="15"/>
  <cols>
    <col min="1" max="1" width="64.28515625" customWidth="1"/>
    <col min="2" max="2" width="19.85546875" customWidth="1"/>
    <col min="3" max="3" width="18.42578125" customWidth="1"/>
  </cols>
  <sheetData>
    <row r="1" spans="1:3">
      <c r="A1" s="32" t="s">
        <v>0</v>
      </c>
    </row>
    <row r="2" spans="1:3">
      <c r="A2" s="32" t="s">
        <v>55</v>
      </c>
    </row>
    <row r="3" spans="1:3">
      <c r="A3" s="32" t="s">
        <v>1</v>
      </c>
    </row>
    <row r="4" spans="1:3">
      <c r="A4" s="32" t="s">
        <v>188</v>
      </c>
    </row>
    <row r="5" spans="1:3">
      <c r="A5" s="32" t="s">
        <v>117</v>
      </c>
    </row>
    <row r="6" spans="1:3">
      <c r="A6" s="33"/>
    </row>
    <row r="7" spans="1:3">
      <c r="A7" s="34" t="s">
        <v>111</v>
      </c>
      <c r="B7" s="38">
        <f>площади!F30</f>
        <v>2595.9</v>
      </c>
    </row>
    <row r="8" spans="1:3" ht="15" customHeight="1">
      <c r="A8" s="131" t="s">
        <v>3</v>
      </c>
      <c r="B8" s="129" t="s">
        <v>107</v>
      </c>
    </row>
    <row r="9" spans="1:3" ht="15" customHeight="1">
      <c r="A9" s="131"/>
      <c r="B9" s="130"/>
    </row>
    <row r="10" spans="1:3" ht="15" customHeight="1">
      <c r="A10" s="5" t="s">
        <v>189</v>
      </c>
      <c r="B10" s="125"/>
    </row>
    <row r="11" spans="1:3" ht="15" customHeight="1">
      <c r="A11" s="5" t="s">
        <v>4</v>
      </c>
      <c r="B11" s="125"/>
    </row>
    <row r="12" spans="1:3" ht="15" customHeight="1">
      <c r="A12" s="5" t="s">
        <v>5</v>
      </c>
      <c r="B12" s="125"/>
    </row>
    <row r="13" spans="1:3" ht="15" customHeight="1">
      <c r="A13" s="5" t="s">
        <v>190</v>
      </c>
      <c r="B13" s="125"/>
    </row>
    <row r="14" spans="1:3" ht="15" customHeight="1">
      <c r="A14" s="2"/>
    </row>
    <row r="15" spans="1:3" ht="15" customHeight="1">
      <c r="A15" s="36" t="s">
        <v>6</v>
      </c>
      <c r="B15" s="37"/>
      <c r="C15" s="37"/>
    </row>
    <row r="16" spans="1:3" ht="15" customHeight="1">
      <c r="A16" s="35" t="s">
        <v>7</v>
      </c>
      <c r="B16" s="35" t="s">
        <v>8</v>
      </c>
      <c r="C16" s="35" t="s">
        <v>9</v>
      </c>
    </row>
    <row r="17" spans="1:3" ht="15" customHeight="1">
      <c r="A17" s="3" t="s">
        <v>10</v>
      </c>
      <c r="B17" s="76" t="s">
        <v>11</v>
      </c>
      <c r="C17" s="40">
        <f>3941*0.44*1.45*2.1*1.22*12/2</f>
        <v>38650.711175999997</v>
      </c>
    </row>
    <row r="18" spans="1:3" ht="15" customHeight="1">
      <c r="A18" s="3" t="s">
        <v>12</v>
      </c>
      <c r="B18" s="76" t="s">
        <v>13</v>
      </c>
      <c r="C18" s="40">
        <f>0.07*B7*5/2</f>
        <v>454.28250000000003</v>
      </c>
    </row>
    <row r="19" spans="1:3" ht="15" customHeight="1">
      <c r="A19" s="3" t="s">
        <v>14</v>
      </c>
      <c r="B19" s="76" t="s">
        <v>13</v>
      </c>
      <c r="C19" s="40">
        <f>4*978*5/2</f>
        <v>9780</v>
      </c>
    </row>
    <row r="20" spans="1:3" ht="15" customHeight="1">
      <c r="A20" s="3" t="s">
        <v>15</v>
      </c>
      <c r="B20" s="76" t="s">
        <v>16</v>
      </c>
      <c r="C20" s="40">
        <f>B7*'общие данные '!C7/'общие данные '!B1/2</f>
        <v>37094.377307535426</v>
      </c>
    </row>
    <row r="21" spans="1:3" ht="15" customHeight="1">
      <c r="A21" s="3" t="s">
        <v>17</v>
      </c>
      <c r="B21" s="76" t="s">
        <v>13</v>
      </c>
      <c r="C21" s="40">
        <f>B7*'общие данные '!C11/'общие данные '!B1/2</f>
        <v>264.72210830888747</v>
      </c>
    </row>
    <row r="22" spans="1:3" ht="15" customHeight="1">
      <c r="A22" s="3" t="s">
        <v>18</v>
      </c>
      <c r="B22" s="76" t="s">
        <v>154</v>
      </c>
      <c r="C22" s="40">
        <f>3941*0.33*1.45*2.1*1.22*12/2</f>
        <v>28988.033382000001</v>
      </c>
    </row>
    <row r="23" spans="1:3" ht="60" customHeight="1">
      <c r="A23" s="6" t="s">
        <v>169</v>
      </c>
      <c r="B23" s="76" t="s">
        <v>23</v>
      </c>
      <c r="C23" s="40">
        <f>B7*'общие данные '!E13/'общие данные '!B1/2</f>
        <v>111332.85799777276</v>
      </c>
    </row>
    <row r="24" spans="1:3" s="7" customFormat="1" ht="15" customHeight="1">
      <c r="A24" s="3" t="s">
        <v>24</v>
      </c>
      <c r="B24" s="4" t="s">
        <v>25</v>
      </c>
      <c r="C24" s="40">
        <f>0.82*B7*12+B7*'общие данные '!C8/'общие данные '!B1/2</f>
        <v>30951.57483590248</v>
      </c>
    </row>
    <row r="25" spans="1:3" s="7" customFormat="1" ht="15" customHeight="1">
      <c r="A25" s="3" t="s">
        <v>26</v>
      </c>
      <c r="B25" s="4" t="s">
        <v>25</v>
      </c>
      <c r="C25" s="40"/>
    </row>
    <row r="26" spans="1:3" s="7" customFormat="1" ht="15" customHeight="1">
      <c r="A26" s="5" t="s">
        <v>27</v>
      </c>
      <c r="B26" s="3"/>
      <c r="C26" s="40">
        <f>SUM(C17:C25)</f>
        <v>257516.55930751958</v>
      </c>
    </row>
    <row r="27" spans="1:3" ht="15" customHeight="1">
      <c r="A27" s="36" t="s">
        <v>28</v>
      </c>
      <c r="B27" s="37"/>
      <c r="C27" s="37"/>
    </row>
    <row r="28" spans="1:3" ht="15" customHeight="1">
      <c r="A28" s="5" t="s">
        <v>108</v>
      </c>
      <c r="B28" s="78" t="s">
        <v>160</v>
      </c>
      <c r="C28" s="78" t="s">
        <v>9</v>
      </c>
    </row>
    <row r="29" spans="1:3" ht="15" customHeight="1">
      <c r="A29" s="3" t="s">
        <v>29</v>
      </c>
      <c r="B29" s="76" t="s">
        <v>13</v>
      </c>
      <c r="C29" s="40"/>
    </row>
    <row r="30" spans="1:3" ht="15" customHeight="1">
      <c r="A30" s="3" t="s">
        <v>156</v>
      </c>
      <c r="B30" s="76" t="s">
        <v>13</v>
      </c>
      <c r="C30" s="40"/>
    </row>
    <row r="31" spans="1:3" ht="15" customHeight="1">
      <c r="A31" s="3" t="s">
        <v>175</v>
      </c>
      <c r="B31" s="76" t="s">
        <v>13</v>
      </c>
      <c r="C31" s="40">
        <v>4859</v>
      </c>
    </row>
    <row r="32" spans="1:3" ht="15" customHeight="1">
      <c r="A32" s="3" t="s">
        <v>159</v>
      </c>
      <c r="B32" s="76" t="s">
        <v>13</v>
      </c>
      <c r="C32" s="40">
        <f>1061+16068</f>
        <v>17129</v>
      </c>
    </row>
    <row r="33" spans="1:3" ht="15" customHeight="1">
      <c r="A33" s="5" t="s">
        <v>35</v>
      </c>
      <c r="B33" s="78"/>
      <c r="C33" s="41"/>
    </row>
    <row r="34" spans="1:3" ht="15" customHeight="1">
      <c r="A34" s="3" t="s">
        <v>163</v>
      </c>
      <c r="B34" s="76" t="s">
        <v>13</v>
      </c>
      <c r="C34" s="40">
        <f>B7*'общие данные '!C37/'общие данные '!B1+39718</f>
        <v>60079.269953412266</v>
      </c>
    </row>
    <row r="35" spans="1:3" ht="15" customHeight="1">
      <c r="A35" s="3" t="s">
        <v>162</v>
      </c>
      <c r="B35" s="76" t="s">
        <v>13</v>
      </c>
      <c r="C35" s="40">
        <v>2817</v>
      </c>
    </row>
    <row r="36" spans="1:3" ht="15" customHeight="1">
      <c r="A36" s="3" t="s">
        <v>39</v>
      </c>
      <c r="B36" s="76" t="s">
        <v>13</v>
      </c>
      <c r="C36" s="40">
        <v>9546</v>
      </c>
    </row>
    <row r="37" spans="1:3" ht="15" customHeight="1">
      <c r="A37" s="3" t="s">
        <v>42</v>
      </c>
      <c r="B37" s="76" t="s">
        <v>13</v>
      </c>
      <c r="C37" s="40">
        <v>25205</v>
      </c>
    </row>
    <row r="38" spans="1:3" ht="15" customHeight="1">
      <c r="A38" s="3" t="s">
        <v>44</v>
      </c>
      <c r="B38" s="76" t="s">
        <v>13</v>
      </c>
      <c r="C38" s="40">
        <v>15125</v>
      </c>
    </row>
    <row r="39" spans="1:3" ht="19.5" customHeight="1">
      <c r="A39" s="3" t="s">
        <v>46</v>
      </c>
      <c r="B39" s="76" t="s">
        <v>47</v>
      </c>
      <c r="C39" s="40">
        <v>15125</v>
      </c>
    </row>
    <row r="40" spans="1:3" ht="15" customHeight="1">
      <c r="A40" s="3" t="s">
        <v>48</v>
      </c>
      <c r="B40" s="76" t="s">
        <v>161</v>
      </c>
      <c r="C40" s="40">
        <v>8850</v>
      </c>
    </row>
    <row r="41" spans="1:3" ht="15" customHeight="1">
      <c r="A41" s="5" t="s">
        <v>50</v>
      </c>
      <c r="B41" s="78"/>
      <c r="C41" s="41"/>
    </row>
    <row r="42" spans="1:3" ht="15" customHeight="1">
      <c r="A42" s="3" t="s">
        <v>57</v>
      </c>
      <c r="B42" s="76" t="s">
        <v>13</v>
      </c>
      <c r="C42" s="40">
        <f>27*4+49*4</f>
        <v>304</v>
      </c>
    </row>
    <row r="43" spans="1:3" ht="24" customHeight="1">
      <c r="A43" s="3" t="s">
        <v>164</v>
      </c>
      <c r="B43" s="76" t="s">
        <v>13</v>
      </c>
      <c r="C43" s="40">
        <v>27510</v>
      </c>
    </row>
    <row r="44" spans="1:3" ht="15" customHeight="1">
      <c r="A44" s="5" t="s">
        <v>27</v>
      </c>
      <c r="B44" s="5"/>
      <c r="C44" s="41">
        <f>SUM(C29:C43)</f>
        <v>186549.26995341227</v>
      </c>
    </row>
    <row r="45" spans="1:3" ht="15" customHeight="1">
      <c r="A45" s="42" t="s">
        <v>54</v>
      </c>
      <c r="B45" s="42"/>
      <c r="C45" s="43">
        <f>C26+C44</f>
        <v>444065.82926093182</v>
      </c>
    </row>
    <row r="46" spans="1:3" ht="15" customHeight="1">
      <c r="A46" s="77"/>
      <c r="C46" s="8"/>
    </row>
    <row r="47" spans="1:3" ht="15" customHeight="1">
      <c r="A47" s="127" t="s">
        <v>197</v>
      </c>
      <c r="B47" s="128"/>
    </row>
    <row r="48" spans="1:3" ht="15" customHeight="1"/>
    <row r="49" ht="15" customHeight="1"/>
    <row r="50" ht="15" customHeight="1"/>
  </sheetData>
  <mergeCells count="3">
    <mergeCell ref="A47:B47"/>
    <mergeCell ref="A8:A9"/>
    <mergeCell ref="B8:B9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общие данные </vt:lpstr>
      <vt:lpstr>площади</vt:lpstr>
      <vt:lpstr>Лист1</vt:lpstr>
      <vt:lpstr>Ангарский 4</vt:lpstr>
      <vt:lpstr>Ангарский 6</vt:lpstr>
      <vt:lpstr>Лист2</vt:lpstr>
      <vt:lpstr>Жел 16</vt:lpstr>
      <vt:lpstr>Жел 18а</vt:lpstr>
      <vt:lpstr>Жел 18</vt:lpstr>
      <vt:lpstr>Крюкова 35а</vt:lpstr>
      <vt:lpstr>Крюкова 64</vt:lpstr>
      <vt:lpstr>Ленина 166</vt:lpstr>
      <vt:lpstr>Ленина 172</vt:lpstr>
      <vt:lpstr>Ленина 174</vt:lpstr>
      <vt:lpstr>Ленина 180</vt:lpstr>
      <vt:lpstr>Ленина 182</vt:lpstr>
      <vt:lpstr>Ленина 184а </vt:lpstr>
      <vt:lpstr>Ленина 184</vt:lpstr>
      <vt:lpstr>Ленина 242а</vt:lpstr>
      <vt:lpstr>Ленина 242</vt:lpstr>
      <vt:lpstr>Ленина 248</vt:lpstr>
      <vt:lpstr>Ленина 250</vt:lpstr>
      <vt:lpstr>Мира 971</vt:lpstr>
      <vt:lpstr>Мира 972</vt:lpstr>
      <vt:lpstr>Песочная 33</vt:lpstr>
      <vt:lpstr>Сах 61</vt:lpstr>
      <vt:lpstr>Сах 88</vt:lpstr>
      <vt:lpstr>Сах 100</vt:lpstr>
      <vt:lpstr>Сах 102</vt:lpstr>
      <vt:lpstr>Сах 106а</vt:lpstr>
      <vt:lpstr>Сах 106</vt:lpstr>
      <vt:lpstr>Сах 108а</vt:lpstr>
      <vt:lpstr>Лист3</vt:lpstr>
      <vt:lpstr>Сах 108</vt:lpstr>
      <vt:lpstr>Сах 147</vt:lpstr>
      <vt:lpstr>Северная 44</vt:lpstr>
      <vt:lpstr>Чехова 70б2</vt:lpstr>
      <vt:lpstr>Ю-Сах 6</vt:lpstr>
      <vt:lpstr>Ю-Сах 8</vt:lpstr>
      <vt:lpstr>Ю-Сах 10</vt:lpstr>
      <vt:lpstr>Ю-Сах 11</vt:lpstr>
      <vt:lpstr>Ю-Сах 17</vt:lpstr>
      <vt:lpstr>Ю-Сах 19</vt:lpstr>
      <vt:lpstr>Ю-Сах 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2019-06-03T04:21:38Z</dcterms:modified>
</cp:coreProperties>
</file>